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defaultThemeVersion="124226"/>
  <mc:AlternateContent xmlns:mc="http://schemas.openxmlformats.org/markup-compatibility/2006">
    <mc:Choice Requires="x15">
      <x15ac:absPath xmlns:x15ac="http://schemas.microsoft.com/office/spreadsheetml/2010/11/ac" url="G:\Shared drives\03 Design Management\08 Design Criteria\01 Manuals\2023\01 Working Manuals\Drainage Design Manual\"/>
    </mc:Choice>
  </mc:AlternateContent>
  <xr:revisionPtr revIDLastSave="0" documentId="13_ncr:1_{BC92E138-0B37-470E-9EDD-E87488E14065}" xr6:coauthVersionLast="47" xr6:coauthVersionMax="47" xr10:uidLastSave="{00000000-0000-0000-0000-000000000000}"/>
  <bookViews>
    <workbookView xWindow="28680" yWindow="-120" windowWidth="29040" windowHeight="15840" tabRatio="758" xr2:uid="{00000000-000D-0000-FFFF-FFFF00000000}"/>
  </bookViews>
  <sheets>
    <sheet name="MH Size Estimator" sheetId="7" r:id="rId1"/>
    <sheet name="MH % CF Removed" sheetId="8" r:id="rId2"/>
    <sheet name="Catch Basins Type G" sheetId="9" r:id="rId3"/>
    <sheet name="Reference Tables" sheetId="3" r:id="rId4"/>
  </sheets>
  <definedNames>
    <definedName name="_xlnm.Print_Area" localSheetId="1">'MH % CF Removed'!$A$1:$AH$62</definedName>
    <definedName name="_xlnm.Print_Area" localSheetId="0">'MH Size Estimator'!$A$1:$S$57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3" l="1"/>
  <c r="C5" i="3" s="1"/>
  <c r="D5" i="3" s="1"/>
  <c r="B6" i="3"/>
  <c r="C6" i="3" s="1"/>
  <c r="D6" i="3" s="1"/>
  <c r="B7" i="3"/>
  <c r="C7" i="3" s="1"/>
  <c r="D7" i="3" s="1"/>
  <c r="B8" i="3"/>
  <c r="C8" i="3"/>
  <c r="D8" i="3" s="1"/>
  <c r="B9" i="3"/>
  <c r="C9" i="3"/>
  <c r="D9" i="3" s="1"/>
  <c r="B10" i="3"/>
  <c r="C10" i="3" s="1"/>
  <c r="D10" i="3" s="1"/>
  <c r="B11" i="3"/>
  <c r="C11" i="3" s="1"/>
  <c r="D11" i="3" s="1"/>
  <c r="B12" i="3"/>
  <c r="C12" i="3" s="1"/>
  <c r="D12" i="3" s="1"/>
  <c r="B13" i="3"/>
  <c r="C13" i="3"/>
  <c r="D13" i="3" s="1"/>
  <c r="B14" i="3"/>
  <c r="C14" i="3" s="1"/>
  <c r="D14" i="3" s="1"/>
  <c r="B15" i="3"/>
  <c r="C15" i="3" s="1"/>
  <c r="D15" i="3" s="1"/>
  <c r="AC10" i="8"/>
  <c r="V10" i="8"/>
  <c r="AE10" i="8"/>
  <c r="AD10" i="8"/>
  <c r="AB10" i="8"/>
  <c r="AA10" i="8"/>
  <c r="W10" i="8"/>
  <c r="U10" i="8"/>
  <c r="T10" i="8"/>
  <c r="L13" i="3" l="1"/>
  <c r="M13" i="3" s="1"/>
  <c r="L12" i="3"/>
  <c r="M12" i="3" s="1"/>
  <c r="L11" i="3"/>
  <c r="M11" i="3" s="1"/>
  <c r="L10" i="3"/>
  <c r="M10" i="3" s="1"/>
  <c r="L9" i="3"/>
  <c r="M9" i="3" s="1"/>
  <c r="L8" i="3"/>
  <c r="M8" i="3" s="1"/>
  <c r="L7" i="3"/>
  <c r="M7" i="3" s="1"/>
  <c r="L6" i="3"/>
  <c r="M6" i="3" s="1"/>
  <c r="L5" i="3"/>
  <c r="M5" i="3" s="1"/>
  <c r="L4" i="3"/>
  <c r="M4" i="3" s="1"/>
  <c r="B4" i="3"/>
  <c r="C4" i="3" s="1"/>
  <c r="D4" i="3" s="1"/>
  <c r="N10" i="8" l="1"/>
  <c r="O10" i="8" s="1"/>
  <c r="P10" i="8" s="1"/>
  <c r="M10" i="8"/>
  <c r="K10" i="7"/>
  <c r="L10" i="7"/>
  <c r="P10" i="7" s="1"/>
  <c r="G9" i="8"/>
  <c r="H9" i="8" s="1"/>
  <c r="I9" i="8" s="1"/>
  <c r="F9" i="8"/>
  <c r="N9" i="8"/>
  <c r="O9" i="8" s="1"/>
  <c r="P9" i="8" s="1"/>
  <c r="M9" i="8"/>
  <c r="L9" i="7"/>
  <c r="P9" i="7" s="1"/>
  <c r="K9" i="7"/>
  <c r="F11" i="7"/>
  <c r="G11" i="7"/>
  <c r="O11" i="7" s="1"/>
  <c r="G10" i="8"/>
  <c r="H10" i="8" s="1"/>
  <c r="I10" i="8" s="1"/>
  <c r="F10" i="8"/>
  <c r="F10" i="7"/>
  <c r="G9" i="7"/>
  <c r="O9" i="7" s="1"/>
  <c r="F9" i="7"/>
  <c r="G10" i="7"/>
  <c r="O10" i="7" s="1"/>
  <c r="T9" i="8"/>
  <c r="U9" i="8"/>
  <c r="V9" i="8" s="1"/>
  <c r="W9" i="8" s="1"/>
  <c r="K11" i="7"/>
  <c r="L11" i="7"/>
  <c r="P11" i="7" s="1"/>
  <c r="AB9" i="8"/>
  <c r="AC9" i="8" s="1"/>
  <c r="AD9" i="8" s="1"/>
  <c r="AA9" i="8"/>
  <c r="AE9" i="8"/>
  <c r="Q10" i="7" l="1"/>
  <c r="R10" i="7" s="1"/>
  <c r="S10" i="7" s="1"/>
  <c r="Q11" i="7"/>
  <c r="R11" i="7" s="1"/>
  <c r="S11" i="7" s="1"/>
  <c r="Q9" i="7"/>
  <c r="R9" i="7" s="1"/>
  <c r="S9" i="7" s="1"/>
  <c r="AF10" i="8"/>
  <c r="AG10" i="8" s="1"/>
  <c r="AH10" i="8" s="1"/>
  <c r="AF9" i="8"/>
  <c r="AG9" i="8" s="1"/>
  <c r="AH9" i="8" s="1"/>
  <c r="J1048568" i="7"/>
  <c r="H1048568" i="7"/>
  <c r="E1048568" i="7"/>
  <c r="D1048568" i="7" l="1"/>
  <c r="I1048568" i="7"/>
  <c r="C1048568" i="7"/>
  <c r="F1048568" i="7" l="1"/>
  <c r="K1048568" i="7"/>
  <c r="G1048568" i="7"/>
  <c r="L1048568" i="7"/>
</calcChain>
</file>

<file path=xl/sharedStrings.xml><?xml version="1.0" encoding="utf-8"?>
<sst xmlns="http://schemas.openxmlformats.org/spreadsheetml/2006/main" count="202" uniqueCount="102">
  <si>
    <t>α</t>
  </si>
  <si>
    <t>β</t>
  </si>
  <si>
    <t>User Input</t>
  </si>
  <si>
    <t>Output</t>
  </si>
  <si>
    <t>%</t>
  </si>
  <si>
    <t>Pipe A</t>
  </si>
  <si>
    <t>(FT)</t>
  </si>
  <si>
    <t>Angle btw</t>
  </si>
  <si>
    <t xml:space="preserve">Arc Length btw </t>
  </si>
  <si>
    <t xml:space="preserve">Pipes </t>
  </si>
  <si>
    <t>Pipe B</t>
  </si>
  <si>
    <t>pipe A and pipe B</t>
  </si>
  <si>
    <t>S (FT)</t>
  </si>
  <si>
    <t>(Deg.)</t>
  </si>
  <si>
    <t>Δ (Deg.)</t>
  </si>
  <si>
    <t>MH Sizing **</t>
  </si>
  <si>
    <t>Min. Arc Length</t>
  </si>
  <si>
    <t xml:space="preserve">Pipe Angle </t>
  </si>
  <si>
    <t>Arc Length</t>
  </si>
  <si>
    <t>Pipe C</t>
  </si>
  <si>
    <t>Total Length</t>
  </si>
  <si>
    <t>Removed</t>
  </si>
  <si>
    <t>MH</t>
  </si>
  <si>
    <t>Perimeter</t>
  </si>
  <si>
    <t>PMH (FT)</t>
  </si>
  <si>
    <t>Total</t>
  </si>
  <si>
    <t>Percentage</t>
  </si>
  <si>
    <t>Pipe D</t>
  </si>
  <si>
    <t>Structure Sizing **</t>
  </si>
  <si>
    <t>Str Dia.</t>
  </si>
  <si>
    <t>Circular Concrete Pipe</t>
  </si>
  <si>
    <t>Internal Diameter 
(IN)</t>
  </si>
  <si>
    <t>Outside Dia.
(IN)</t>
  </si>
  <si>
    <t>Outside Dia.
(FT)</t>
  </si>
  <si>
    <t>Elliptical Concrete Pipe</t>
  </si>
  <si>
    <t>Height Inside
(IN)</t>
  </si>
  <si>
    <t>Equivalent Round Size (EQRS) 
(IN)</t>
  </si>
  <si>
    <t>Str No.</t>
  </si>
  <si>
    <t>101A</t>
  </si>
  <si>
    <t>P101A</t>
  </si>
  <si>
    <t>Pipe No</t>
  </si>
  <si>
    <t>Cir or Ellipt</t>
  </si>
  <si>
    <t>Circular</t>
  </si>
  <si>
    <t>Dia / Span</t>
  </si>
  <si>
    <t>Span (Width) Inside 
(IN)</t>
  </si>
  <si>
    <t>Elliptical</t>
  </si>
  <si>
    <t>Outside Span  
(IN)</t>
  </si>
  <si>
    <t>Outside Span  
(FT)</t>
  </si>
  <si>
    <t>Outside</t>
  </si>
  <si>
    <t>O.D. / Span + 4"</t>
  </si>
  <si>
    <t>Inside</t>
  </si>
  <si>
    <t>P102A</t>
  </si>
  <si>
    <t>P103A</t>
  </si>
  <si>
    <t>P104A</t>
  </si>
  <si>
    <t>102B</t>
  </si>
  <si>
    <t>P102B</t>
  </si>
  <si>
    <t>CIRCULAR STRUCTURE SIZING SCHEDULE</t>
  </si>
  <si>
    <t>MANHOLE % CIRCUMFERENCE REMOVAL SCHEDULE</t>
  </si>
  <si>
    <t>Pipe No.</t>
  </si>
  <si>
    <t>Shape</t>
  </si>
  <si>
    <t>a</t>
  </si>
  <si>
    <t>Column1</t>
  </si>
  <si>
    <t>Column2</t>
  </si>
  <si>
    <t>Column3</t>
  </si>
  <si>
    <t>Column4</t>
  </si>
  <si>
    <t>b</t>
  </si>
  <si>
    <t>c</t>
  </si>
  <si>
    <t>d</t>
  </si>
  <si>
    <t>P103B</t>
  </si>
  <si>
    <t>Hole Size</t>
  </si>
  <si>
    <t>Column5</t>
  </si>
  <si>
    <t>Column</t>
  </si>
  <si>
    <r>
      <t>D</t>
    </r>
    <r>
      <rPr>
        <vertAlign val="subscript"/>
        <sz val="11"/>
        <color theme="1"/>
        <rFont val="Calibri"/>
        <family val="2"/>
        <scheme val="minor"/>
      </rPr>
      <t>MH</t>
    </r>
    <r>
      <rPr>
        <sz val="11"/>
        <color theme="1"/>
        <rFont val="Calibri"/>
        <family val="2"/>
        <scheme val="minor"/>
      </rPr>
      <t xml:space="preserve"> (FT)</t>
    </r>
  </si>
  <si>
    <r>
      <t>D</t>
    </r>
    <r>
      <rPr>
        <vertAlign val="subscript"/>
        <sz val="11"/>
        <color theme="1"/>
        <rFont val="Calibri"/>
        <family val="2"/>
        <scheme val="minor"/>
      </rPr>
      <t>a</t>
    </r>
    <r>
      <rPr>
        <sz val="11"/>
        <color theme="1"/>
        <rFont val="Calibri"/>
        <family val="2"/>
        <scheme val="minor"/>
      </rPr>
      <t xml:space="preserve"> (FT)</t>
    </r>
  </si>
  <si>
    <r>
      <t>P</t>
    </r>
    <r>
      <rPr>
        <vertAlign val="subscript"/>
        <sz val="11"/>
        <color theme="1"/>
        <rFont val="Calibri"/>
        <family val="2"/>
        <scheme val="minor"/>
      </rPr>
      <t>a</t>
    </r>
    <r>
      <rPr>
        <sz val="11"/>
        <color theme="1"/>
        <rFont val="Calibri"/>
        <family val="2"/>
        <scheme val="minor"/>
      </rPr>
      <t xml:space="preserve"> (FT)</t>
    </r>
  </si>
  <si>
    <r>
      <t>D</t>
    </r>
    <r>
      <rPr>
        <vertAlign val="subscript"/>
        <sz val="11"/>
        <color theme="1"/>
        <rFont val="Calibri"/>
        <family val="2"/>
        <scheme val="minor"/>
      </rPr>
      <t>b</t>
    </r>
    <r>
      <rPr>
        <sz val="11"/>
        <color theme="1"/>
        <rFont val="Calibri"/>
        <family val="2"/>
        <scheme val="minor"/>
      </rPr>
      <t xml:space="preserve"> (FT)</t>
    </r>
  </si>
  <si>
    <r>
      <t>P</t>
    </r>
    <r>
      <rPr>
        <vertAlign val="subscript"/>
        <sz val="11"/>
        <color theme="1"/>
        <rFont val="Calibri"/>
        <family val="2"/>
        <scheme val="minor"/>
      </rPr>
      <t>b</t>
    </r>
    <r>
      <rPr>
        <sz val="11"/>
        <color theme="1"/>
        <rFont val="Calibri"/>
        <family val="2"/>
        <scheme val="minor"/>
      </rPr>
      <t xml:space="preserve"> (FT)</t>
    </r>
  </si>
  <si>
    <r>
      <t>D</t>
    </r>
    <r>
      <rPr>
        <vertAlign val="subscript"/>
        <sz val="11"/>
        <color theme="1"/>
        <rFont val="Calibri"/>
        <family val="2"/>
        <scheme val="minor"/>
      </rPr>
      <t>c</t>
    </r>
    <r>
      <rPr>
        <sz val="11"/>
        <color theme="1"/>
        <rFont val="Calibri"/>
        <family val="2"/>
        <scheme val="minor"/>
      </rPr>
      <t xml:space="preserve"> (FT)</t>
    </r>
  </si>
  <si>
    <r>
      <t>P</t>
    </r>
    <r>
      <rPr>
        <vertAlign val="subscript"/>
        <sz val="11"/>
        <color theme="1"/>
        <rFont val="Calibri"/>
        <family val="2"/>
        <scheme val="minor"/>
      </rPr>
      <t>c</t>
    </r>
    <r>
      <rPr>
        <sz val="11"/>
        <color theme="1"/>
        <rFont val="Calibri"/>
        <family val="2"/>
        <scheme val="minor"/>
      </rPr>
      <t xml:space="preserve"> (FT)</t>
    </r>
  </si>
  <si>
    <r>
      <t>D</t>
    </r>
    <r>
      <rPr>
        <vertAlign val="subscript"/>
        <sz val="11"/>
        <color theme="1"/>
        <rFont val="Calibri"/>
        <family val="2"/>
        <scheme val="minor"/>
      </rPr>
      <t>d</t>
    </r>
    <r>
      <rPr>
        <sz val="11"/>
        <color theme="1"/>
        <rFont val="Calibri"/>
        <family val="2"/>
        <scheme val="minor"/>
      </rPr>
      <t xml:space="preserve"> (FT)</t>
    </r>
  </si>
  <si>
    <r>
      <t>P</t>
    </r>
    <r>
      <rPr>
        <vertAlign val="subscript"/>
        <sz val="11"/>
        <color theme="1"/>
        <rFont val="Calibri"/>
        <family val="2"/>
        <scheme val="minor"/>
      </rPr>
      <t>d</t>
    </r>
    <r>
      <rPr>
        <sz val="11"/>
        <color theme="1"/>
        <rFont val="Calibri"/>
        <family val="2"/>
        <scheme val="minor"/>
      </rPr>
      <t xml:space="preserve"> (FT)</t>
    </r>
  </si>
  <si>
    <r>
      <t>S</t>
    </r>
    <r>
      <rPr>
        <vertAlign val="subscript"/>
        <sz val="11"/>
        <color theme="1"/>
        <rFont val="Calibri"/>
        <family val="2"/>
        <scheme val="minor"/>
      </rPr>
      <t>a</t>
    </r>
  </si>
  <si>
    <r>
      <t>S</t>
    </r>
    <r>
      <rPr>
        <vertAlign val="subscript"/>
        <sz val="11"/>
        <color theme="1"/>
        <rFont val="Calibri"/>
        <family val="2"/>
        <scheme val="minor"/>
      </rPr>
      <t>d</t>
    </r>
  </si>
  <si>
    <r>
      <t>S</t>
    </r>
    <r>
      <rPr>
        <vertAlign val="subscript"/>
        <sz val="11"/>
        <color theme="1"/>
        <rFont val="Calibri"/>
        <family val="2"/>
        <scheme val="minor"/>
      </rPr>
      <t>c</t>
    </r>
  </si>
  <si>
    <r>
      <t>S</t>
    </r>
    <r>
      <rPr>
        <vertAlign val="subscript"/>
        <sz val="11"/>
        <color theme="1"/>
        <rFont val="Calibri"/>
        <family val="2"/>
        <scheme val="minor"/>
      </rPr>
      <t>b</t>
    </r>
  </si>
  <si>
    <t>Wall Thickness 
(IN)</t>
  </si>
  <si>
    <t>Error</t>
  </si>
  <si>
    <r>
      <t>d</t>
    </r>
    <r>
      <rPr>
        <vertAlign val="subscript"/>
        <sz val="11"/>
        <color theme="1"/>
        <rFont val="Calibri"/>
        <family val="2"/>
        <scheme val="minor"/>
      </rPr>
      <t>a</t>
    </r>
    <r>
      <rPr>
        <sz val="11"/>
        <color theme="1"/>
        <rFont val="Calibri"/>
        <family val="2"/>
        <scheme val="minor"/>
      </rPr>
      <t xml:space="preserve"> (IN)</t>
    </r>
  </si>
  <si>
    <r>
      <t>d</t>
    </r>
    <r>
      <rPr>
        <vertAlign val="subscript"/>
        <sz val="11"/>
        <color theme="1"/>
        <rFont val="Calibri"/>
        <family val="2"/>
        <scheme val="minor"/>
      </rPr>
      <t>b</t>
    </r>
    <r>
      <rPr>
        <sz val="11"/>
        <color theme="1"/>
        <rFont val="Calibri"/>
        <family val="2"/>
        <scheme val="minor"/>
      </rPr>
      <t xml:space="preserve"> (IN)</t>
    </r>
  </si>
  <si>
    <t>per IL Tollway</t>
  </si>
  <si>
    <t>φ</t>
  </si>
  <si>
    <r>
      <t>d</t>
    </r>
    <r>
      <rPr>
        <vertAlign val="subscript"/>
        <sz val="11"/>
        <color theme="1"/>
        <rFont val="Calibri"/>
        <family val="2"/>
        <scheme val="minor"/>
      </rPr>
      <t>c</t>
    </r>
    <r>
      <rPr>
        <sz val="11"/>
        <color theme="1"/>
        <rFont val="Calibri"/>
        <family val="2"/>
        <scheme val="minor"/>
      </rPr>
      <t xml:space="preserve"> (IN)</t>
    </r>
  </si>
  <si>
    <r>
      <t>d</t>
    </r>
    <r>
      <rPr>
        <vertAlign val="subscript"/>
        <sz val="11"/>
        <color theme="1"/>
        <rFont val="Calibri"/>
        <family val="2"/>
        <scheme val="minor"/>
      </rPr>
      <t>d</t>
    </r>
    <r>
      <rPr>
        <sz val="11"/>
        <color theme="1"/>
        <rFont val="Calibri"/>
        <family val="2"/>
        <scheme val="minor"/>
      </rPr>
      <t xml:space="preserve"> (IN)</t>
    </r>
  </si>
  <si>
    <r>
      <t xml:space="preserve">** </t>
    </r>
    <r>
      <rPr>
        <b/>
        <sz val="11"/>
        <color theme="1"/>
        <rFont val="Calibri"/>
        <family val="2"/>
        <scheme val="minor"/>
      </rPr>
      <t xml:space="preserve">Illinois Tollway Guidelines: </t>
    </r>
    <r>
      <rPr>
        <sz val="11"/>
        <color theme="1"/>
        <rFont val="Calibri"/>
        <family val="2"/>
        <scheme val="minor"/>
      </rPr>
      <t>A minimum of 1.00 feet inside arc length is required between adjacent pipe penetration holes.</t>
    </r>
  </si>
  <si>
    <r>
      <rPr>
        <b/>
        <sz val="11"/>
        <color theme="1"/>
        <rFont val="Calibri"/>
        <family val="2"/>
        <scheme val="minor"/>
      </rPr>
      <t>** Illinois Tollway Guidelines:</t>
    </r>
    <r>
      <rPr>
        <sz val="11"/>
        <color theme="1"/>
        <rFont val="Calibri"/>
        <family val="2"/>
        <scheme val="minor"/>
      </rPr>
      <t xml:space="preserve"> A maximum of 60 percent of the inside perimeter of the reinforced concrete manhole walls may be removed. </t>
    </r>
  </si>
  <si>
    <r>
      <rPr>
        <b/>
        <i/>
        <sz val="14"/>
        <color rgb="FFC00000"/>
        <rFont val="Calibri"/>
        <family val="2"/>
        <scheme val="minor"/>
      </rPr>
      <t xml:space="preserve">Note to Designer: </t>
    </r>
    <r>
      <rPr>
        <i/>
        <sz val="14"/>
        <color rgb="FFC00000"/>
        <rFont val="Calibri"/>
        <family val="2"/>
        <scheme val="minor"/>
      </rPr>
      <t xml:space="preserve">This worksheet is provided as a reference for the inside arc length and % circumference removal calculations.  The Designer shall accept the responsibility of the design upon its completion. </t>
    </r>
  </si>
  <si>
    <r>
      <rPr>
        <b/>
        <sz val="11"/>
        <color theme="1"/>
        <rFont val="Calibri"/>
        <family val="2"/>
        <scheme val="minor"/>
      </rPr>
      <t>Illinois Tollway Guidelines:</t>
    </r>
    <r>
      <rPr>
        <sz val="11"/>
        <color theme="1"/>
        <rFont val="Calibri"/>
        <family val="2"/>
        <scheme val="minor"/>
      </rPr>
      <t xml:space="preserve"> </t>
    </r>
  </si>
  <si>
    <r>
      <rPr>
        <b/>
        <i/>
        <sz val="14"/>
        <color rgb="FFC00000"/>
        <rFont val="Calibri"/>
        <family val="2"/>
        <scheme val="minor"/>
      </rPr>
      <t>Note to Designer:</t>
    </r>
    <r>
      <rPr>
        <i/>
        <sz val="14"/>
        <color rgb="FFC00000"/>
        <rFont val="Calibri"/>
        <family val="2"/>
        <scheme val="minor"/>
      </rPr>
      <t xml:space="preserve"> This worksheet is provided as a guideline for the Designer to determine the height of monolithic reinforced concrete (C) above the pipe penetration holes and structure height (H).  The Designer shall accept the responsibility of the design upon its completion. </t>
    </r>
  </si>
  <si>
    <r>
      <rPr>
        <b/>
        <i/>
        <sz val="14"/>
        <color rgb="FFC00000"/>
        <rFont val="Calibri"/>
        <family val="2"/>
        <scheme val="minor"/>
      </rPr>
      <t>Note to Designer:</t>
    </r>
    <r>
      <rPr>
        <i/>
        <sz val="14"/>
        <color rgb="FFC00000"/>
        <rFont val="Calibri"/>
        <family val="2"/>
        <scheme val="minor"/>
      </rPr>
      <t xml:space="preserve"> This worksheet is provided as a tool for the Designer to determine the % circumference removal of circular structures.  The Designer shall accept the responsibility of the design upon its completion. </t>
    </r>
  </si>
  <si>
    <r>
      <t xml:space="preserve">Note to Designer: </t>
    </r>
    <r>
      <rPr>
        <i/>
        <sz val="14"/>
        <color rgb="FFC00000"/>
        <rFont val="Calibri"/>
        <family val="2"/>
        <scheme val="minor"/>
      </rPr>
      <t xml:space="preserve">This worksheet is provided as a tool for the Designer to determine the inside arc length between pipe penetration holes.  The Designer shall accept the responsibility of the design upon its completion. </t>
    </r>
  </si>
  <si>
    <t xml:space="preserve">2. For Catch Basins Type G, a maximum structure height (H) of 9 ft shall be permitted.  </t>
  </si>
  <si>
    <t xml:space="preserve">1. For Catch Basins Type G, a minimum of 9" of monolithic reinforced concrete (C) shall be maintained above pipe penetration holes &gt;15".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</si>
</sst>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1"/>
      <color theme="1"/>
      <name val="Calibri"/>
      <family val="2"/>
      <scheme val="minor"/>
    </font>
    <font>
      <b/>
      <sz val="11"/>
      <color theme="1"/>
      <name val="Calibri"/>
      <family val="2"/>
      <scheme val="minor"/>
    </font>
    <font>
      <sz val="11"/>
      <color theme="1"/>
      <name val="Calibri"/>
      <family val="2"/>
    </font>
    <font>
      <sz val="10"/>
      <name val="Century Gothic"/>
      <family val="2"/>
    </font>
    <font>
      <sz val="11"/>
      <name val="Calibri"/>
      <family val="2"/>
    </font>
    <font>
      <b/>
      <sz val="18"/>
      <color theme="1"/>
      <name val="Calibri"/>
      <family val="2"/>
      <scheme val="minor"/>
    </font>
    <font>
      <vertAlign val="subscript"/>
      <sz val="11"/>
      <color theme="1"/>
      <name val="Calibri"/>
      <family val="2"/>
      <scheme val="minor"/>
    </font>
    <font>
      <sz val="11"/>
      <color rgb="FFFF0000"/>
      <name val="Calibri"/>
      <family val="2"/>
      <scheme val="minor"/>
    </font>
    <font>
      <b/>
      <i/>
      <sz val="14"/>
      <color rgb="FFC00000"/>
      <name val="Calibri"/>
      <family val="2"/>
      <scheme val="minor"/>
    </font>
    <font>
      <i/>
      <sz val="14"/>
      <color rgb="FFC00000"/>
      <name val="Calibri"/>
      <family val="2"/>
      <scheme val="minor"/>
    </font>
  </fonts>
  <fills count="10">
    <fill>
      <patternFill patternType="none"/>
    </fill>
    <fill>
      <patternFill patternType="gray125"/>
    </fill>
    <fill>
      <patternFill patternType="solid">
        <fgColor theme="3" tint="0.59999389629810485"/>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FF5050"/>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thin">
        <color indexed="64"/>
      </top>
      <bottom/>
      <diagonal/>
    </border>
    <border>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4" fillId="0" borderId="0"/>
  </cellStyleXfs>
  <cellXfs count="174">
    <xf numFmtId="0" fontId="0" fillId="0" borderId="0" xfId="0"/>
    <xf numFmtId="0" fontId="0" fillId="0" borderId="0" xfId="0" applyAlignment="1">
      <alignment horizontal="center" vertical="center"/>
    </xf>
    <xf numFmtId="0" fontId="0" fillId="0" borderId="0" xfId="0" applyAlignment="1">
      <alignment vertical="top" wrapText="1"/>
    </xf>
    <xf numFmtId="0" fontId="0" fillId="0" borderId="1" xfId="0" applyBorder="1" applyAlignment="1">
      <alignment horizontal="center" vertical="center"/>
    </xf>
    <xf numFmtId="0" fontId="0" fillId="0" borderId="1" xfId="0" applyBorder="1" applyAlignment="1">
      <alignment horizontal="center" vertical="center" wrapText="1"/>
    </xf>
    <xf numFmtId="2" fontId="5" fillId="0" borderId="0" xfId="2" applyNumberFormat="1" applyFont="1" applyBorder="1" applyAlignment="1">
      <alignment horizontal="center"/>
    </xf>
    <xf numFmtId="0" fontId="5" fillId="0" borderId="1" xfId="2" applyFont="1" applyBorder="1" applyAlignment="1">
      <alignment horizontal="center" vertical="center" wrapText="1"/>
    </xf>
    <xf numFmtId="2" fontId="5" fillId="0" borderId="1" xfId="2" applyNumberFormat="1" applyFont="1" applyFill="1" applyBorder="1" applyAlignment="1">
      <alignment horizontal="center" vertical="center"/>
    </xf>
    <xf numFmtId="2" fontId="5" fillId="0" borderId="1" xfId="2" applyNumberFormat="1" applyFont="1" applyBorder="1" applyAlignment="1">
      <alignment horizontal="center" vertical="center"/>
    </xf>
    <xf numFmtId="0" fontId="5" fillId="0" borderId="1" xfId="2" applyFont="1" applyBorder="1" applyAlignment="1">
      <alignment horizontal="center" wrapText="1"/>
    </xf>
    <xf numFmtId="2" fontId="5" fillId="0" borderId="1" xfId="2" applyNumberFormat="1" applyFont="1" applyBorder="1" applyAlignment="1">
      <alignment horizontal="center"/>
    </xf>
    <xf numFmtId="0" fontId="5" fillId="0" borderId="7" xfId="2" applyFont="1" applyBorder="1" applyAlignment="1">
      <alignment horizontal="center" wrapText="1"/>
    </xf>
    <xf numFmtId="1" fontId="5" fillId="0" borderId="7" xfId="2" applyNumberFormat="1" applyFont="1" applyBorder="1" applyAlignment="1">
      <alignment horizontal="center"/>
    </xf>
    <xf numFmtId="1" fontId="0" fillId="0" borderId="7" xfId="0" applyNumberFormat="1" applyBorder="1" applyAlignment="1">
      <alignment horizontal="center"/>
    </xf>
    <xf numFmtId="0" fontId="5" fillId="0" borderId="6" xfId="2" applyFont="1" applyBorder="1" applyAlignment="1">
      <alignment horizontal="center" wrapText="1"/>
    </xf>
    <xf numFmtId="2" fontId="5" fillId="0" borderId="6" xfId="2" applyNumberFormat="1" applyFont="1" applyBorder="1" applyAlignment="1">
      <alignment horizontal="center"/>
    </xf>
    <xf numFmtId="0" fontId="2" fillId="0" borderId="12" xfId="0" applyFont="1" applyBorder="1" applyAlignment="1">
      <alignment horizontal="center"/>
    </xf>
    <xf numFmtId="0" fontId="2" fillId="0" borderId="4" xfId="0" applyFont="1" applyBorder="1" applyAlignment="1">
      <alignment horizontal="center"/>
    </xf>
    <xf numFmtId="0" fontId="2" fillId="0" borderId="11" xfId="0" applyFont="1" applyBorder="1" applyAlignment="1">
      <alignment horizontal="center"/>
    </xf>
    <xf numFmtId="1" fontId="0" fillId="0" borderId="9" xfId="0" applyNumberFormat="1" applyBorder="1" applyAlignment="1">
      <alignment horizontal="center"/>
    </xf>
    <xf numFmtId="2" fontId="5" fillId="0" borderId="2" xfId="2" applyNumberFormat="1" applyFont="1" applyBorder="1" applyAlignment="1">
      <alignment horizontal="center"/>
    </xf>
    <xf numFmtId="2" fontId="5" fillId="0" borderId="8" xfId="2" applyNumberFormat="1" applyFont="1" applyBorder="1" applyAlignment="1">
      <alignment horizontal="center"/>
    </xf>
    <xf numFmtId="0" fontId="0" fillId="0" borderId="11" xfId="0" applyBorder="1"/>
    <xf numFmtId="0" fontId="5" fillId="0" borderId="7" xfId="2" applyFont="1" applyBorder="1" applyAlignment="1">
      <alignment horizontal="center" vertical="center" wrapText="1"/>
    </xf>
    <xf numFmtId="1" fontId="0" fillId="0" borderId="7" xfId="0" applyNumberFormat="1" applyBorder="1" applyAlignment="1">
      <alignment horizontal="center" vertical="center"/>
    </xf>
    <xf numFmtId="0" fontId="5" fillId="0" borderId="6" xfId="2" applyFont="1" applyBorder="1" applyAlignment="1">
      <alignment horizontal="center" vertical="center" wrapText="1"/>
    </xf>
    <xf numFmtId="2" fontId="5" fillId="0" borderId="6" xfId="2" applyNumberFormat="1" applyFont="1" applyFill="1" applyBorder="1" applyAlignment="1">
      <alignment horizontal="center" vertical="center"/>
    </xf>
    <xf numFmtId="2" fontId="5" fillId="0" borderId="2" xfId="2" applyNumberFormat="1" applyFont="1" applyFill="1" applyBorder="1" applyAlignment="1">
      <alignment horizontal="center" vertical="center"/>
    </xf>
    <xf numFmtId="2" fontId="5" fillId="0" borderId="8" xfId="2" applyNumberFormat="1" applyFont="1" applyFill="1" applyBorder="1" applyAlignment="1">
      <alignment horizontal="center" vertical="center"/>
    </xf>
    <xf numFmtId="0" fontId="6" fillId="0" borderId="0" xfId="0" applyFont="1" applyAlignment="1" applyProtection="1">
      <alignment horizontal="center"/>
      <protection locked="0"/>
    </xf>
    <xf numFmtId="0" fontId="6" fillId="0" borderId="0" xfId="0" applyFont="1" applyAlignment="1" applyProtection="1">
      <protection locked="0"/>
    </xf>
    <xf numFmtId="0" fontId="0" fillId="0" borderId="0" xfId="0" applyProtection="1">
      <protection locked="0"/>
    </xf>
    <xf numFmtId="0" fontId="0" fillId="2" borderId="0" xfId="0" applyFill="1" applyProtection="1">
      <protection locked="0"/>
    </xf>
    <xf numFmtId="0" fontId="0" fillId="3" borderId="0" xfId="0" applyFill="1" applyProtection="1">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3" fillId="0" borderId="30" xfId="0" applyFont="1"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23" xfId="0" applyBorder="1" applyProtection="1">
      <protection locked="0"/>
    </xf>
    <xf numFmtId="0" fontId="0" fillId="0" borderId="19" xfId="0" applyBorder="1" applyProtection="1">
      <protection locked="0"/>
    </xf>
    <xf numFmtId="0" fontId="0" fillId="0" borderId="2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3" xfId="0" applyBorder="1" applyProtection="1">
      <protection locked="0"/>
    </xf>
    <xf numFmtId="0" fontId="0" fillId="0" borderId="3" xfId="0" applyFill="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31" xfId="0" applyFill="1" applyBorder="1" applyAlignment="1" applyProtection="1">
      <alignment horizontal="center" vertical="center"/>
      <protection locked="0"/>
    </xf>
    <xf numFmtId="0" fontId="0" fillId="2" borderId="20"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2" borderId="4" xfId="0" applyFill="1" applyBorder="1" applyAlignment="1" applyProtection="1">
      <alignment horizontal="center" vertical="center"/>
      <protection locked="0"/>
    </xf>
    <xf numFmtId="0" fontId="0" fillId="2" borderId="26"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0" fontId="0" fillId="2" borderId="27" xfId="0" applyFill="1" applyBorder="1" applyAlignment="1" applyProtection="1">
      <alignment horizontal="center" vertical="center"/>
      <protection locked="0"/>
    </xf>
    <xf numFmtId="0" fontId="0" fillId="2" borderId="28" xfId="0"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2" fontId="0" fillId="0" borderId="0" xfId="0" applyNumberFormat="1" applyProtection="1">
      <protection locked="0"/>
    </xf>
    <xf numFmtId="2" fontId="0" fillId="0" borderId="4" xfId="0" applyNumberFormat="1" applyFill="1" applyBorder="1" applyAlignment="1" applyProtection="1">
      <alignment horizontal="center" vertical="center"/>
    </xf>
    <xf numFmtId="2" fontId="0" fillId="0" borderId="20" xfId="0" applyNumberFormat="1" applyFill="1" applyBorder="1" applyAlignment="1" applyProtection="1">
      <alignment horizontal="center" vertical="center"/>
    </xf>
    <xf numFmtId="2" fontId="0" fillId="0" borderId="1" xfId="0" applyNumberFormat="1" applyFill="1" applyBorder="1" applyAlignment="1" applyProtection="1">
      <alignment horizontal="center" vertical="center"/>
    </xf>
    <xf numFmtId="2" fontId="0" fillId="0" borderId="26" xfId="0" applyNumberFormat="1" applyFill="1" applyBorder="1" applyAlignment="1" applyProtection="1">
      <alignment horizontal="center" vertical="center"/>
    </xf>
    <xf numFmtId="2" fontId="0" fillId="0" borderId="5" xfId="0" applyNumberFormat="1" applyFill="1" applyBorder="1" applyAlignment="1" applyProtection="1">
      <alignment horizontal="center" vertical="center"/>
    </xf>
    <xf numFmtId="2" fontId="0" fillId="0" borderId="28" xfId="0" applyNumberFormat="1" applyFill="1" applyBorder="1" applyAlignment="1" applyProtection="1">
      <alignment horizontal="center" vertical="center"/>
    </xf>
    <xf numFmtId="2" fontId="0" fillId="0" borderId="33" xfId="0" applyNumberFormat="1" applyFill="1" applyBorder="1" applyAlignment="1" applyProtection="1">
      <alignment horizontal="center" vertical="center"/>
    </xf>
    <xf numFmtId="2" fontId="0" fillId="0" borderId="32" xfId="0" applyNumberFormat="1" applyFill="1" applyBorder="1" applyAlignment="1" applyProtection="1">
      <alignment horizontal="center" vertical="center"/>
    </xf>
    <xf numFmtId="2" fontId="0" fillId="0" borderId="5" xfId="0" applyNumberFormat="1" applyBorder="1" applyAlignment="1" applyProtection="1">
      <alignment horizontal="center" vertical="center"/>
    </xf>
    <xf numFmtId="0" fontId="0" fillId="0" borderId="0" xfId="0" applyProtection="1"/>
    <xf numFmtId="2" fontId="0" fillId="0" borderId="0" xfId="0" applyNumberFormat="1" applyProtection="1"/>
    <xf numFmtId="0" fontId="0" fillId="0" borderId="16" xfId="0" applyBorder="1" applyAlignment="1" applyProtection="1">
      <alignment horizontal="center" vertical="center"/>
      <protection locked="0"/>
    </xf>
    <xf numFmtId="0" fontId="0" fillId="0" borderId="0" xfId="0" applyFill="1" applyBorder="1" applyAlignment="1" applyProtection="1">
      <alignment horizontal="center" vertical="center"/>
      <protection locked="0"/>
    </xf>
    <xf numFmtId="0" fontId="0" fillId="0" borderId="18" xfId="0" applyBorder="1" applyProtection="1">
      <protection locked="0"/>
    </xf>
    <xf numFmtId="0" fontId="0" fillId="0" borderId="19"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Fill="1" applyBorder="1" applyAlignment="1" applyProtection="1">
      <alignment horizontal="center" vertical="center"/>
      <protection locked="0"/>
    </xf>
    <xf numFmtId="0" fontId="0" fillId="2" borderId="36" xfId="0" applyFill="1" applyBorder="1" applyAlignment="1" applyProtection="1">
      <alignment horizontal="center" vertical="center"/>
      <protection locked="0"/>
    </xf>
    <xf numFmtId="0" fontId="0" fillId="2" borderId="35" xfId="0" applyFill="1" applyBorder="1" applyAlignment="1" applyProtection="1">
      <alignment horizontal="center" vertical="center"/>
      <protection locked="0"/>
    </xf>
    <xf numFmtId="0" fontId="0" fillId="0" borderId="0" xfId="0" applyAlignment="1" applyProtection="1">
      <alignment vertical="top" wrapText="1"/>
      <protection locked="0"/>
    </xf>
    <xf numFmtId="2" fontId="0" fillId="0" borderId="35" xfId="0" applyNumberFormat="1" applyBorder="1" applyAlignment="1" applyProtection="1">
      <alignment horizontal="center" vertical="center"/>
    </xf>
    <xf numFmtId="0" fontId="6" fillId="0" borderId="0" xfId="0" applyFont="1" applyAlignment="1" applyProtection="1">
      <alignment horizontal="center"/>
      <protection locked="0"/>
    </xf>
    <xf numFmtId="0" fontId="0" fillId="0" borderId="8"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38" xfId="0"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22" xfId="0" applyBorder="1" applyAlignment="1" applyProtection="1">
      <alignment horizontal="center"/>
      <protection locked="0"/>
    </xf>
    <xf numFmtId="0" fontId="0" fillId="0" borderId="11"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2" fontId="0" fillId="0" borderId="1" xfId="0" applyNumberFormat="1" applyBorder="1" applyAlignment="1" applyProtection="1">
      <alignment horizontal="center" vertical="center" wrapText="1"/>
    </xf>
    <xf numFmtId="0" fontId="0" fillId="0" borderId="41" xfId="0" applyBorder="1" applyAlignment="1" applyProtection="1">
      <alignment horizontal="center" vertical="center"/>
      <protection locked="0"/>
    </xf>
    <xf numFmtId="0" fontId="0" fillId="0" borderId="38" xfId="0" applyBorder="1" applyAlignment="1" applyProtection="1">
      <alignment horizontal="center"/>
      <protection locked="0"/>
    </xf>
    <xf numFmtId="0" fontId="0" fillId="0" borderId="42" xfId="0" applyFill="1" applyBorder="1" applyAlignment="1" applyProtection="1">
      <alignment horizontal="center" vertical="center"/>
      <protection locked="0"/>
    </xf>
    <xf numFmtId="2" fontId="0" fillId="0" borderId="29" xfId="0" applyNumberFormat="1" applyBorder="1" applyAlignment="1" applyProtection="1">
      <alignment horizontal="center" vertical="center" wrapText="1"/>
    </xf>
    <xf numFmtId="2" fontId="0" fillId="0" borderId="27" xfId="0" applyNumberFormat="1" applyBorder="1" applyAlignment="1" applyProtection="1">
      <alignment horizontal="center" vertical="center" wrapText="1"/>
    </xf>
    <xf numFmtId="2" fontId="0" fillId="0" borderId="5" xfId="0" applyNumberFormat="1" applyBorder="1" applyAlignment="1" applyProtection="1">
      <alignment horizontal="center" vertical="center" wrapText="1"/>
    </xf>
    <xf numFmtId="2" fontId="0" fillId="3" borderId="1" xfId="0" applyNumberFormat="1" applyFill="1" applyBorder="1" applyAlignment="1" applyProtection="1">
      <alignment horizontal="center" vertical="center" wrapText="1"/>
    </xf>
    <xf numFmtId="2" fontId="0" fillId="0" borderId="36" xfId="0" applyNumberFormat="1" applyBorder="1" applyAlignment="1" applyProtection="1">
      <alignment horizontal="center" vertical="center" wrapText="1"/>
    </xf>
    <xf numFmtId="2" fontId="0" fillId="0" borderId="35" xfId="0" applyNumberFormat="1" applyBorder="1" applyAlignment="1" applyProtection="1">
      <alignment horizontal="center" vertical="center" wrapText="1"/>
    </xf>
    <xf numFmtId="2" fontId="0" fillId="3" borderId="35" xfId="0" applyNumberFormat="1" applyFill="1" applyBorder="1" applyAlignment="1" applyProtection="1">
      <alignment horizontal="center" vertical="center" wrapText="1"/>
    </xf>
    <xf numFmtId="2" fontId="0" fillId="3" borderId="5" xfId="0" applyNumberFormat="1" applyFill="1" applyBorder="1" applyAlignment="1" applyProtection="1">
      <alignment horizontal="center" vertical="center" wrapText="1"/>
    </xf>
    <xf numFmtId="0" fontId="8" fillId="0" borderId="0" xfId="0" applyFont="1" applyProtection="1">
      <protection locked="0"/>
    </xf>
    <xf numFmtId="0" fontId="0" fillId="9" borderId="0" xfId="0" applyFill="1" applyProtection="1">
      <protection locked="0"/>
    </xf>
    <xf numFmtId="2" fontId="0" fillId="0" borderId="37" xfId="0" applyNumberFormat="1" applyBorder="1" applyAlignment="1" applyProtection="1">
      <alignment horizontal="center" vertical="center" wrapText="1"/>
    </xf>
    <xf numFmtId="9" fontId="0" fillId="3" borderId="35" xfId="1" applyFont="1" applyFill="1" applyBorder="1" applyAlignment="1" applyProtection="1">
      <alignment horizontal="center" vertical="center" wrapText="1"/>
    </xf>
    <xf numFmtId="0" fontId="0" fillId="0" borderId="0" xfId="0" applyAlignment="1" applyProtection="1">
      <alignment horizontal="center" vertical="center"/>
      <protection locked="0"/>
    </xf>
    <xf numFmtId="9" fontId="0" fillId="0" borderId="0" xfId="1" applyFont="1" applyAlignment="1" applyProtection="1">
      <alignment horizontal="center" vertical="center"/>
      <protection locked="0"/>
    </xf>
    <xf numFmtId="2" fontId="0" fillId="0" borderId="0" xfId="0" applyNumberFormat="1" applyAlignment="1" applyProtection="1">
      <alignment horizontal="center" vertical="center"/>
      <protection locked="0"/>
    </xf>
    <xf numFmtId="0" fontId="0" fillId="0" borderId="37" xfId="0" applyBorder="1" applyAlignment="1" applyProtection="1">
      <alignment horizontal="center" vertical="center"/>
    </xf>
    <xf numFmtId="9" fontId="0" fillId="3" borderId="5" xfId="1" applyFont="1" applyFill="1" applyBorder="1" applyAlignment="1" applyProtection="1">
      <alignment horizontal="center" vertical="center" wrapText="1"/>
    </xf>
    <xf numFmtId="2" fontId="0" fillId="0" borderId="39" xfId="0" applyNumberFormat="1" applyBorder="1" applyAlignment="1" applyProtection="1">
      <alignment horizontal="center" vertical="center" wrapText="1"/>
    </xf>
    <xf numFmtId="2" fontId="0" fillId="0" borderId="40" xfId="0" applyNumberFormat="1" applyBorder="1" applyAlignment="1" applyProtection="1">
      <alignment horizontal="center" vertical="center" wrapText="1"/>
    </xf>
    <xf numFmtId="0" fontId="0" fillId="0" borderId="43" xfId="0" applyBorder="1" applyAlignment="1" applyProtection="1">
      <alignment horizontal="center" vertical="center"/>
      <protection locked="0"/>
    </xf>
    <xf numFmtId="0" fontId="0" fillId="0" borderId="0" xfId="0" applyBorder="1" applyProtection="1">
      <protection locked="0"/>
    </xf>
    <xf numFmtId="0" fontId="0" fillId="0" borderId="0" xfId="0" applyBorder="1" applyAlignment="1" applyProtection="1">
      <alignment horizontal="center" vertical="center"/>
      <protection locked="0"/>
    </xf>
    <xf numFmtId="2" fontId="0" fillId="0" borderId="28" xfId="0" applyNumberFormat="1" applyBorder="1" applyAlignment="1" applyProtection="1">
      <alignment horizontal="center" vertical="center" wrapText="1"/>
    </xf>
    <xf numFmtId="2" fontId="0" fillId="0" borderId="34" xfId="0" applyNumberFormat="1" applyBorder="1" applyAlignment="1" applyProtection="1">
      <alignment horizontal="center" vertical="center"/>
    </xf>
    <xf numFmtId="2" fontId="0" fillId="0" borderId="44" xfId="0" applyNumberFormat="1" applyBorder="1" applyAlignment="1" applyProtection="1">
      <alignment horizontal="center" vertical="center"/>
    </xf>
    <xf numFmtId="2" fontId="0" fillId="0" borderId="26" xfId="0" applyNumberFormat="1" applyBorder="1" applyAlignment="1" applyProtection="1">
      <alignment horizontal="center" vertical="center" wrapText="1"/>
    </xf>
    <xf numFmtId="0" fontId="0" fillId="0" borderId="25" xfId="0" applyFill="1" applyBorder="1" applyAlignment="1" applyProtection="1">
      <alignment horizontal="center" vertical="center"/>
      <protection locked="0"/>
    </xf>
    <xf numFmtId="0" fontId="0" fillId="0" borderId="17" xfId="0" applyBorder="1" applyAlignment="1" applyProtection="1">
      <alignment horizontal="center"/>
      <protection locked="0"/>
    </xf>
    <xf numFmtId="0" fontId="0" fillId="0" borderId="23" xfId="0" applyFill="1" applyBorder="1" applyAlignment="1" applyProtection="1">
      <alignment horizontal="center" vertical="center"/>
      <protection locked="0"/>
    </xf>
    <xf numFmtId="0" fontId="0" fillId="0" borderId="28" xfId="0" applyBorder="1" applyAlignment="1" applyProtection="1">
      <alignment horizontal="center" vertical="center" wrapText="1"/>
    </xf>
    <xf numFmtId="2" fontId="0" fillId="2" borderId="36" xfId="0" applyNumberFormat="1" applyFill="1" applyBorder="1" applyAlignment="1" applyProtection="1">
      <alignment horizontal="center" vertical="center"/>
      <protection locked="0"/>
    </xf>
    <xf numFmtId="2" fontId="0" fillId="2" borderId="27" xfId="0" applyNumberFormat="1" applyFill="1" applyBorder="1" applyAlignment="1" applyProtection="1">
      <alignment horizontal="center" vertical="center"/>
      <protection locked="0"/>
    </xf>
    <xf numFmtId="0" fontId="0" fillId="0" borderId="0" xfId="0" applyAlignment="1" applyProtection="1">
      <alignment horizontal="left" vertical="top" wrapText="1"/>
      <protection locked="0"/>
    </xf>
    <xf numFmtId="1" fontId="0" fillId="0" borderId="9" xfId="0" applyNumberFormat="1" applyFill="1" applyBorder="1" applyAlignment="1">
      <alignment horizontal="center" vertical="center"/>
    </xf>
    <xf numFmtId="0" fontId="0" fillId="0" borderId="2" xfId="0" applyFill="1" applyBorder="1" applyAlignment="1">
      <alignment horizontal="center" vertical="center"/>
    </xf>
    <xf numFmtId="1" fontId="0" fillId="0" borderId="0" xfId="0" applyNumberFormat="1" applyBorder="1" applyAlignment="1">
      <alignment horizontal="center" vertical="center"/>
    </xf>
    <xf numFmtId="0" fontId="0" fillId="0" borderId="0" xfId="0" applyBorder="1" applyAlignment="1">
      <alignment horizontal="center" vertical="center"/>
    </xf>
    <xf numFmtId="2" fontId="5" fillId="0" borderId="0" xfId="2" applyNumberFormat="1" applyFont="1" applyBorder="1" applyAlignment="1">
      <alignment horizontal="center" vertical="center"/>
    </xf>
    <xf numFmtId="2" fontId="5" fillId="0" borderId="0" xfId="2" applyNumberFormat="1" applyFont="1" applyFill="1" applyBorder="1" applyAlignment="1">
      <alignment horizontal="center" vertical="center"/>
    </xf>
    <xf numFmtId="1" fontId="6" fillId="0" borderId="0" xfId="0" applyNumberFormat="1" applyFont="1" applyAlignment="1" applyProtection="1">
      <alignment horizontal="center"/>
      <protection locked="0"/>
    </xf>
    <xf numFmtId="1" fontId="0" fillId="0" borderId="0" xfId="0" applyNumberFormat="1" applyProtection="1">
      <protection locked="0"/>
    </xf>
    <xf numFmtId="1" fontId="0" fillId="0" borderId="45" xfId="0" applyNumberFormat="1" applyBorder="1" applyAlignment="1" applyProtection="1">
      <alignment horizontal="center" vertical="center"/>
      <protection locked="0"/>
    </xf>
    <xf numFmtId="1" fontId="0" fillId="0" borderId="46" xfId="0" applyNumberFormat="1" applyBorder="1" applyProtection="1">
      <protection locked="0"/>
    </xf>
    <xf numFmtId="1" fontId="0" fillId="0" borderId="46" xfId="0" applyNumberFormat="1" applyBorder="1" applyAlignment="1" applyProtection="1">
      <alignment horizontal="center" vertical="center"/>
      <protection locked="0"/>
    </xf>
    <xf numFmtId="1" fontId="0" fillId="2" borderId="15" xfId="0" applyNumberFormat="1" applyFill="1" applyBorder="1" applyAlignment="1" applyProtection="1">
      <alignment horizontal="center" vertical="center"/>
      <protection locked="0"/>
    </xf>
    <xf numFmtId="1" fontId="0" fillId="2" borderId="47" xfId="0" applyNumberFormat="1" applyFill="1" applyBorder="1" applyAlignment="1" applyProtection="1">
      <alignment horizontal="center" vertical="center"/>
      <protection locked="0"/>
    </xf>
    <xf numFmtId="2" fontId="0" fillId="0" borderId="33" xfId="0" applyNumberFormat="1" applyBorder="1" applyAlignment="1" applyProtection="1">
      <alignment horizontal="center" vertical="center" wrapText="1"/>
    </xf>
    <xf numFmtId="0" fontId="9" fillId="0" borderId="0" xfId="0" applyFont="1" applyProtection="1">
      <protection locked="0"/>
    </xf>
    <xf numFmtId="0" fontId="10" fillId="0" borderId="0" xfId="0" applyFont="1" applyProtection="1">
      <protection locked="0"/>
    </xf>
    <xf numFmtId="0" fontId="0" fillId="0" borderId="0" xfId="0" applyAlignment="1" applyProtection="1">
      <alignment horizontal="left" vertical="top" wrapText="1"/>
      <protection locked="0"/>
    </xf>
    <xf numFmtId="0" fontId="0" fillId="7" borderId="13" xfId="0" applyFill="1" applyBorder="1" applyAlignment="1" applyProtection="1">
      <alignment horizontal="center"/>
      <protection locked="0"/>
    </xf>
    <xf numFmtId="0" fontId="0" fillId="7" borderId="14" xfId="0" applyFill="1" applyBorder="1" applyAlignment="1" applyProtection="1">
      <alignment horizontal="center"/>
      <protection locked="0"/>
    </xf>
    <xf numFmtId="0" fontId="0" fillId="7" borderId="15" xfId="0" applyFill="1" applyBorder="1" applyAlignment="1" applyProtection="1">
      <alignment horizontal="center"/>
      <protection locked="0"/>
    </xf>
    <xf numFmtId="0" fontId="0" fillId="8" borderId="13" xfId="0" applyFill="1" applyBorder="1" applyAlignment="1" applyProtection="1">
      <alignment horizontal="center"/>
      <protection locked="0"/>
    </xf>
    <xf numFmtId="0" fontId="0" fillId="8" borderId="14" xfId="0" applyFill="1" applyBorder="1" applyAlignment="1" applyProtection="1">
      <alignment horizontal="center"/>
      <protection locked="0"/>
    </xf>
    <xf numFmtId="0" fontId="0" fillId="8" borderId="15" xfId="0" applyFill="1" applyBorder="1" applyAlignment="1" applyProtection="1">
      <alignment horizontal="center"/>
      <protection locked="0"/>
    </xf>
    <xf numFmtId="0" fontId="6" fillId="0" borderId="0" xfId="0" applyFont="1" applyAlignment="1" applyProtection="1">
      <alignment horizontal="center"/>
      <protection locked="0"/>
    </xf>
    <xf numFmtId="0" fontId="0" fillId="2" borderId="23" xfId="0" applyFill="1" applyBorder="1" applyAlignment="1" applyProtection="1">
      <alignment horizontal="center" vertical="center"/>
      <protection locked="0"/>
    </xf>
    <xf numFmtId="0" fontId="0" fillId="2" borderId="24" xfId="0" applyFill="1" applyBorder="1" applyAlignment="1" applyProtection="1">
      <alignment horizontal="center" vertical="center"/>
      <protection locked="0"/>
    </xf>
    <xf numFmtId="0" fontId="0" fillId="4" borderId="13" xfId="0" applyFill="1" applyBorder="1" applyAlignment="1" applyProtection="1">
      <alignment horizontal="center"/>
      <protection locked="0"/>
    </xf>
    <xf numFmtId="0" fontId="0" fillId="4" borderId="14" xfId="0" applyFill="1" applyBorder="1" applyAlignment="1" applyProtection="1">
      <alignment horizontal="center"/>
      <protection locked="0"/>
    </xf>
    <xf numFmtId="0" fontId="0" fillId="7" borderId="36" xfId="0" applyFill="1" applyBorder="1" applyAlignment="1" applyProtection="1">
      <alignment horizontal="center"/>
      <protection locked="0"/>
    </xf>
    <xf numFmtId="0" fontId="0" fillId="7" borderId="34" xfId="0" applyFill="1" applyBorder="1" applyAlignment="1" applyProtection="1">
      <alignment horizontal="center"/>
      <protection locked="0"/>
    </xf>
    <xf numFmtId="0" fontId="0" fillId="7" borderId="35" xfId="0" applyFill="1" applyBorder="1" applyAlignment="1" applyProtection="1">
      <alignment horizontal="center"/>
      <protection locked="0"/>
    </xf>
    <xf numFmtId="0" fontId="0" fillId="7" borderId="39" xfId="0" applyFill="1" applyBorder="1" applyAlignment="1" applyProtection="1">
      <alignment horizontal="center"/>
      <protection locked="0"/>
    </xf>
    <xf numFmtId="0" fontId="0" fillId="5" borderId="36" xfId="0" applyFill="1" applyBorder="1" applyAlignment="1" applyProtection="1">
      <alignment horizontal="center"/>
      <protection locked="0"/>
    </xf>
    <xf numFmtId="0" fontId="0" fillId="5" borderId="34" xfId="0" applyFill="1" applyBorder="1" applyAlignment="1" applyProtection="1">
      <alignment horizontal="center"/>
      <protection locked="0"/>
    </xf>
    <xf numFmtId="0" fontId="0" fillId="5" borderId="35" xfId="0" applyFill="1" applyBorder="1" applyAlignment="1" applyProtection="1">
      <alignment horizontal="center"/>
      <protection locked="0"/>
    </xf>
    <xf numFmtId="0" fontId="0" fillId="5" borderId="37" xfId="0" applyFill="1" applyBorder="1" applyAlignment="1" applyProtection="1">
      <alignment horizontal="center"/>
      <protection locked="0"/>
    </xf>
    <xf numFmtId="0" fontId="0" fillId="6" borderId="34" xfId="0" applyFill="1" applyBorder="1" applyAlignment="1" applyProtection="1">
      <alignment horizontal="center"/>
      <protection locked="0"/>
    </xf>
    <xf numFmtId="0" fontId="0" fillId="6" borderId="35" xfId="0" applyFill="1" applyBorder="1" applyAlignment="1" applyProtection="1">
      <alignment horizontal="center"/>
      <protection locked="0"/>
    </xf>
    <xf numFmtId="0" fontId="0" fillId="6" borderId="37" xfId="0" applyFill="1" applyBorder="1" applyAlignment="1" applyProtection="1">
      <alignment horizontal="center"/>
      <protection locked="0"/>
    </xf>
    <xf numFmtId="0" fontId="0" fillId="3" borderId="13" xfId="0" applyFill="1" applyBorder="1" applyAlignment="1" applyProtection="1">
      <alignment horizontal="center"/>
      <protection locked="0"/>
    </xf>
    <xf numFmtId="0" fontId="0" fillId="3" borderId="14"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2" fillId="0" borderId="0" xfId="0" applyFont="1" applyAlignment="1">
      <alignment horizontal="center"/>
    </xf>
    <xf numFmtId="0" fontId="2" fillId="0" borderId="0" xfId="0" applyFont="1" applyAlignment="1">
      <alignment horizontal="center" wrapText="1"/>
    </xf>
  </cellXfs>
  <cellStyles count="3">
    <cellStyle name="Normal" xfId="0" builtinId="0"/>
    <cellStyle name="Normal 2" xfId="2" xr:uid="{BADA8A94-E500-4132-8A6D-87A7FCDDA0D4}"/>
    <cellStyle name="Percent" xfId="1" builtinId="5"/>
  </cellStyles>
  <dxfs count="54">
    <dxf>
      <font>
        <b val="0"/>
        <i val="0"/>
        <strike val="0"/>
        <condense val="0"/>
        <extend val="0"/>
        <outline val="0"/>
        <shadow val="0"/>
        <u val="none"/>
        <vertAlign val="baseline"/>
        <sz val="11"/>
        <color auto="1"/>
        <name val="Calibri"/>
        <family val="2"/>
        <scheme val="none"/>
      </font>
      <numFmt numFmtId="2"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numFmt numFmtId="2" formatCode="0.00"/>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numFmt numFmtId="2" formatCode="0.0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 formatCode="0"/>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family val="2"/>
        <scheme val="none"/>
      </font>
      <numFmt numFmtId="2" formatCode="0.00"/>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numFmt numFmtId="2"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none"/>
      </font>
      <numFmt numFmtId="2" formatCode="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1" formatCode="0"/>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outline="0">
        <left style="thin">
          <color indexed="64"/>
        </left>
        <right style="thin">
          <color indexed="64"/>
        </right>
        <top/>
        <bottom/>
      </border>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00B05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00B050"/>
          </stop>
        </gradientFill>
      </fill>
    </dxf>
    <dxf>
      <fill>
        <gradientFill degree="90">
          <stop position="0">
            <color theme="0"/>
          </stop>
          <stop position="1">
            <color rgb="FFFF0000"/>
          </stop>
        </gradientFill>
      </fill>
    </dxf>
    <dxf>
      <fill>
        <gradientFill degree="90">
          <stop position="0">
            <color theme="0"/>
          </stop>
          <stop position="1">
            <color rgb="FF00B050"/>
          </stop>
        </gradientFill>
      </fill>
    </dxf>
    <dxf>
      <fill>
        <gradientFill degree="90">
          <stop position="0">
            <color theme="0"/>
          </stop>
          <stop position="1">
            <color rgb="FFFF0000"/>
          </stop>
        </gradientFill>
      </fill>
    </dxf>
    <dxf>
      <fill>
        <gradientFill degree="90">
          <stop position="0">
            <color theme="0"/>
          </stop>
          <stop position="1">
            <color rgb="FF00B05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FF0000"/>
          </stop>
        </gradientFill>
      </fill>
    </dxf>
    <dxf>
      <fill>
        <gradientFill degree="90">
          <stop position="0">
            <color theme="0"/>
          </stop>
          <stop position="1">
            <color rgb="FF00B050"/>
          </stop>
        </gradientFill>
      </fill>
    </dxf>
    <dxf>
      <fill>
        <gradientFill degree="90">
          <stop position="0">
            <color theme="0"/>
          </stop>
          <stop position="1">
            <color rgb="FFFF0000"/>
          </stop>
        </gradient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47626</xdr:colOff>
      <xdr:row>21</xdr:row>
      <xdr:rowOff>23812</xdr:rowOff>
    </xdr:from>
    <xdr:to>
      <xdr:col>10</xdr:col>
      <xdr:colOff>2653</xdr:colOff>
      <xdr:row>56</xdr:row>
      <xdr:rowOff>130967</xdr:rowOff>
    </xdr:to>
    <xdr:pic>
      <xdr:nvPicPr>
        <xdr:cNvPr id="2" name="Picture 1">
          <a:extLst>
            <a:ext uri="{FF2B5EF4-FFF2-40B4-BE49-F238E27FC236}">
              <a16:creationId xmlns:a16="http://schemas.microsoft.com/office/drawing/2014/main" id="{690C1B1F-112F-CD72-5D11-C25C546AC357}"/>
            </a:ext>
          </a:extLst>
        </xdr:cNvPr>
        <xdr:cNvPicPr>
          <a:picLocks noChangeAspect="1"/>
        </xdr:cNvPicPr>
      </xdr:nvPicPr>
      <xdr:blipFill>
        <a:blip xmlns:r="http://schemas.openxmlformats.org/officeDocument/2006/relationships" r:embed="rId1"/>
        <a:stretch>
          <a:fillRect/>
        </a:stretch>
      </xdr:blipFill>
      <xdr:spPr>
        <a:xfrm>
          <a:off x="47626" y="4881562"/>
          <a:ext cx="8098902" cy="6774655"/>
        </a:xfrm>
        <a:prstGeom prst="rect">
          <a:avLst/>
        </a:prstGeom>
      </xdr:spPr>
    </xdr:pic>
    <xdr:clientData/>
  </xdr:twoCellAnchor>
  <xdr:twoCellAnchor editAs="oneCell">
    <xdr:from>
      <xdr:col>9</xdr:col>
      <xdr:colOff>758031</xdr:colOff>
      <xdr:row>21</xdr:row>
      <xdr:rowOff>15876</xdr:rowOff>
    </xdr:from>
    <xdr:to>
      <xdr:col>18</xdr:col>
      <xdr:colOff>1925158</xdr:colOff>
      <xdr:row>53</xdr:row>
      <xdr:rowOff>168275</xdr:rowOff>
    </xdr:to>
    <xdr:pic>
      <xdr:nvPicPr>
        <xdr:cNvPr id="4" name="Picture 3">
          <a:extLst>
            <a:ext uri="{FF2B5EF4-FFF2-40B4-BE49-F238E27FC236}">
              <a16:creationId xmlns:a16="http://schemas.microsoft.com/office/drawing/2014/main" id="{218F93B3-BA29-E5A0-F837-088F7FA4BF50}"/>
            </a:ext>
          </a:extLst>
        </xdr:cNvPr>
        <xdr:cNvPicPr>
          <a:picLocks noChangeAspect="1"/>
        </xdr:cNvPicPr>
      </xdr:nvPicPr>
      <xdr:blipFill>
        <a:blip xmlns:r="http://schemas.openxmlformats.org/officeDocument/2006/relationships" r:embed="rId2"/>
        <a:stretch>
          <a:fillRect/>
        </a:stretch>
      </xdr:blipFill>
      <xdr:spPr>
        <a:xfrm>
          <a:off x="8060531" y="4873626"/>
          <a:ext cx="10486387" cy="623887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20</xdr:row>
      <xdr:rowOff>23811</xdr:rowOff>
    </xdr:from>
    <xdr:to>
      <xdr:col>9</xdr:col>
      <xdr:colOff>36052</xdr:colOff>
      <xdr:row>60</xdr:row>
      <xdr:rowOff>15715</xdr:rowOff>
    </xdr:to>
    <xdr:pic>
      <xdr:nvPicPr>
        <xdr:cNvPr id="2" name="Picture 1">
          <a:extLst>
            <a:ext uri="{FF2B5EF4-FFF2-40B4-BE49-F238E27FC236}">
              <a16:creationId xmlns:a16="http://schemas.microsoft.com/office/drawing/2014/main" id="{FE1F0CA2-7177-590B-CF55-57D9BE85E692}"/>
            </a:ext>
          </a:extLst>
        </xdr:cNvPr>
        <xdr:cNvPicPr>
          <a:picLocks noChangeAspect="1"/>
        </xdr:cNvPicPr>
      </xdr:nvPicPr>
      <xdr:blipFill>
        <a:blip xmlns:r="http://schemas.openxmlformats.org/officeDocument/2006/relationships" r:embed="rId1"/>
        <a:stretch>
          <a:fillRect/>
        </a:stretch>
      </xdr:blipFill>
      <xdr:spPr>
        <a:xfrm>
          <a:off x="0" y="5429249"/>
          <a:ext cx="7465552" cy="7608094"/>
        </a:xfrm>
        <a:prstGeom prst="rect">
          <a:avLst/>
        </a:prstGeom>
      </xdr:spPr>
    </xdr:pic>
    <xdr:clientData/>
  </xdr:twoCellAnchor>
  <xdr:twoCellAnchor editAs="oneCell">
    <xdr:from>
      <xdr:col>9</xdr:col>
      <xdr:colOff>11906</xdr:colOff>
      <xdr:row>20</xdr:row>
      <xdr:rowOff>11906</xdr:rowOff>
    </xdr:from>
    <xdr:to>
      <xdr:col>18</xdr:col>
      <xdr:colOff>532369</xdr:colOff>
      <xdr:row>63</xdr:row>
      <xdr:rowOff>77549</xdr:rowOff>
    </xdr:to>
    <xdr:pic>
      <xdr:nvPicPr>
        <xdr:cNvPr id="7" name="Picture 6">
          <a:extLst>
            <a:ext uri="{FF2B5EF4-FFF2-40B4-BE49-F238E27FC236}">
              <a16:creationId xmlns:a16="http://schemas.microsoft.com/office/drawing/2014/main" id="{37643253-853E-544E-1C4B-24B40123D30D}"/>
            </a:ext>
          </a:extLst>
        </xdr:cNvPr>
        <xdr:cNvPicPr>
          <a:picLocks noChangeAspect="1"/>
        </xdr:cNvPicPr>
      </xdr:nvPicPr>
      <xdr:blipFill>
        <a:blip xmlns:r="http://schemas.openxmlformats.org/officeDocument/2006/relationships" r:embed="rId2"/>
        <a:stretch>
          <a:fillRect/>
        </a:stretch>
      </xdr:blipFill>
      <xdr:spPr>
        <a:xfrm>
          <a:off x="7441406" y="5417344"/>
          <a:ext cx="8247619" cy="82571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123825</xdr:rowOff>
    </xdr:from>
    <xdr:to>
      <xdr:col>22</xdr:col>
      <xdr:colOff>255467</xdr:colOff>
      <xdr:row>46</xdr:row>
      <xdr:rowOff>179873</xdr:rowOff>
    </xdr:to>
    <xdr:pic>
      <xdr:nvPicPr>
        <xdr:cNvPr id="4" name="Picture 3">
          <a:extLst>
            <a:ext uri="{FF2B5EF4-FFF2-40B4-BE49-F238E27FC236}">
              <a16:creationId xmlns:a16="http://schemas.microsoft.com/office/drawing/2014/main" id="{102825B3-2FE2-9CDA-1770-9E5EBF5559BE}"/>
            </a:ext>
          </a:extLst>
        </xdr:cNvPr>
        <xdr:cNvPicPr>
          <a:picLocks noChangeAspect="1"/>
        </xdr:cNvPicPr>
      </xdr:nvPicPr>
      <xdr:blipFill>
        <a:blip xmlns:r="http://schemas.openxmlformats.org/officeDocument/2006/relationships" r:embed="rId1"/>
        <a:stretch>
          <a:fillRect/>
        </a:stretch>
      </xdr:blipFill>
      <xdr:spPr>
        <a:xfrm>
          <a:off x="0" y="123825"/>
          <a:ext cx="13666667" cy="8819048"/>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36806A3-0CD8-4B5F-BF31-4F251ECBC55C}" name="Cir" displayName="Cir" ref="A2:D15" totalsRowShown="0" headerRowDxfId="17" headerRowBorderDxfId="16" tableBorderDxfId="15" totalsRowBorderDxfId="14">
  <autoFilter ref="A2:D15" xr:uid="{9D07CFD1-B72A-4844-9D17-63CA76C6CD62}"/>
  <tableColumns count="4">
    <tableColumn id="1" xr3:uid="{AFF65F17-8151-49EA-8E3B-2644F70E2E25}" name="Column" dataDxfId="13"/>
    <tableColumn id="2" xr3:uid="{194C4325-5640-43C2-9E06-69F23159F749}" name="Column1" dataDxfId="12" dataCellStyle="Normal 2">
      <calculatedColumnFormula>(A3+12)/12</calculatedColumnFormula>
    </tableColumn>
    <tableColumn id="3" xr3:uid="{A80728C1-D4B3-412C-A9C1-677508839C14}" name="Column2" dataDxfId="11" dataCellStyle="Normal 2">
      <calculatedColumnFormula>A3+2*B3</calculatedColumnFormula>
    </tableColumn>
    <tableColumn id="4" xr3:uid="{4B191854-7867-41A0-97BE-A00F0ECDECFB}" name="Column3" dataDxfId="10" dataCellStyle="Normal 2">
      <calculatedColumnFormula>MROUND(C3/12, 0.01)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2418D3-B741-4635-9D7F-83CC31C226F1}" name="Ellipt" displayName="Ellipt" ref="H2:M13" totalsRowShown="0" headerRowDxfId="9" headerRowBorderDxfId="8" tableBorderDxfId="7" totalsRowBorderDxfId="6">
  <autoFilter ref="H2:M13" xr:uid="{D3663D8D-F437-428B-9F72-FB793877164F}"/>
  <tableColumns count="6">
    <tableColumn id="1" xr3:uid="{0CFC3A17-EBD7-493F-83E6-B8AA3C3DF4F8}" name="Column" dataDxfId="5"/>
    <tableColumn id="2" xr3:uid="{603DE7AE-0E73-4D7C-BD26-FB79899E4441}" name="Column1" dataDxfId="4"/>
    <tableColumn id="3" xr3:uid="{73B4E06B-D4A1-408E-B7FF-4A7E2EA7382A}" name="Column2" dataDxfId="3"/>
    <tableColumn id="4" xr3:uid="{47C3AA54-94F7-4DEA-92D0-2F176D0E988B}" name="Column3" dataDxfId="2" dataCellStyle="Normal 2"/>
    <tableColumn id="5" xr3:uid="{3F0E258E-0B4C-4E08-B15F-580DD5516802}" name="Column4" dataDxfId="1" dataCellStyle="Normal 2">
      <calculatedColumnFormula>J3+2*K3</calculatedColumnFormula>
    </tableColumn>
    <tableColumn id="6" xr3:uid="{971004EE-164D-4DFB-9FF8-AE6009B95ED6}" name="Column5" dataDxfId="0" dataCellStyle="Normal 2">
      <calculatedColumnFormula>L3/12</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3BB65-0D91-41FE-9F7F-04974F048BC3}">
  <sheetPr>
    <pageSetUpPr fitToPage="1"/>
  </sheetPr>
  <dimension ref="A1:AA1048568"/>
  <sheetViews>
    <sheetView tabSelected="1" zoomScale="80" zoomScaleNormal="80" workbookViewId="0">
      <selection activeCell="A2" sqref="A2"/>
    </sheetView>
  </sheetViews>
  <sheetFormatPr defaultColWidth="9.109375" defaultRowHeight="14.4" x14ac:dyDescent="0.3"/>
  <cols>
    <col min="1" max="1" width="10" style="31" bestFit="1" customWidth="1"/>
    <col min="2" max="2" width="12" style="31" customWidth="1"/>
    <col min="3" max="5" width="11.6640625" style="31" bestFit="1" customWidth="1"/>
    <col min="6" max="6" width="13.88671875" style="31" customWidth="1"/>
    <col min="7" max="7" width="15.5546875" style="31" customWidth="1"/>
    <col min="8" max="10" width="11.6640625" style="31" bestFit="1" customWidth="1"/>
    <col min="11" max="11" width="13.88671875" style="31" customWidth="1"/>
    <col min="12" max="12" width="15.5546875" style="31" customWidth="1"/>
    <col min="13" max="13" width="11.6640625" style="31" bestFit="1" customWidth="1"/>
    <col min="14" max="14" width="17.44140625" style="31" customWidth="1"/>
    <col min="15" max="15" width="19.109375" style="31" customWidth="1"/>
    <col min="16" max="16" width="11.6640625" style="31" customWidth="1"/>
    <col min="17" max="17" width="18.88671875" style="31" customWidth="1"/>
    <col min="18" max="18" width="20.5546875" style="31" customWidth="1"/>
    <col min="19" max="19" width="28.6640625" style="31" customWidth="1"/>
    <col min="20" max="20" width="14.109375" style="31" customWidth="1"/>
    <col min="21" max="21" width="9.44140625" style="31" customWidth="1"/>
    <col min="22" max="22" width="9.6640625" style="31" customWidth="1"/>
    <col min="23" max="23" width="18.88671875" style="31" bestFit="1" customWidth="1"/>
    <col min="24" max="24" width="20.88671875" style="31" bestFit="1" customWidth="1"/>
    <col min="25" max="30" width="9.109375" style="31"/>
    <col min="31" max="31" width="13.88671875" style="31" customWidth="1"/>
    <col min="32" max="33" width="11" style="31" customWidth="1"/>
    <col min="34" max="16384" width="9.109375" style="31"/>
  </cols>
  <sheetData>
    <row r="1" spans="1:27" ht="23.4" x14ac:dyDescent="0.45">
      <c r="A1" s="153" t="s">
        <v>56</v>
      </c>
      <c r="B1" s="153"/>
      <c r="C1" s="153"/>
      <c r="D1" s="153"/>
      <c r="E1" s="153"/>
      <c r="F1" s="153"/>
      <c r="G1" s="153"/>
      <c r="H1" s="153"/>
      <c r="I1" s="153"/>
      <c r="J1" s="153"/>
      <c r="K1" s="153"/>
      <c r="L1" s="153"/>
      <c r="M1" s="153"/>
      <c r="N1" s="153"/>
      <c r="O1" s="153"/>
      <c r="P1" s="153"/>
      <c r="Q1" s="153"/>
      <c r="R1" s="153"/>
      <c r="S1" s="153"/>
      <c r="T1" s="30"/>
      <c r="U1" s="30"/>
      <c r="V1" s="30"/>
      <c r="W1" s="30"/>
      <c r="X1" s="30"/>
      <c r="Y1" s="30"/>
      <c r="Z1" s="30"/>
    </row>
    <row r="2" spans="1:27" ht="19.5" customHeight="1" x14ac:dyDescent="0.45">
      <c r="A2" s="29"/>
      <c r="B2" s="29"/>
      <c r="C2" s="29"/>
      <c r="D2" s="29"/>
      <c r="E2" s="29"/>
      <c r="F2" s="29"/>
      <c r="G2" s="29"/>
      <c r="H2" s="29"/>
      <c r="I2" s="29"/>
      <c r="J2" s="29"/>
      <c r="K2" s="29"/>
      <c r="L2" s="29"/>
      <c r="M2" s="29"/>
      <c r="N2" s="29"/>
      <c r="O2" s="29"/>
      <c r="P2" s="29"/>
      <c r="Q2" s="29"/>
      <c r="R2" s="29"/>
      <c r="S2" s="32" t="s">
        <v>2</v>
      </c>
      <c r="T2" s="30"/>
      <c r="U2" s="30"/>
      <c r="V2" s="30"/>
      <c r="W2" s="30"/>
      <c r="X2" s="30"/>
      <c r="Y2" s="30"/>
      <c r="Z2" s="30"/>
    </row>
    <row r="3" spans="1:27" x14ac:dyDescent="0.3">
      <c r="S3" s="33" t="s">
        <v>3</v>
      </c>
    </row>
    <row r="4" spans="1:27" ht="15" thickBot="1" x14ac:dyDescent="0.35">
      <c r="R4" s="105"/>
      <c r="S4" s="106" t="s">
        <v>86</v>
      </c>
    </row>
    <row r="5" spans="1:27" x14ac:dyDescent="0.3">
      <c r="A5" s="34" t="s">
        <v>37</v>
      </c>
      <c r="B5" s="35" t="s">
        <v>29</v>
      </c>
      <c r="C5" s="147" t="s">
        <v>5</v>
      </c>
      <c r="D5" s="148"/>
      <c r="E5" s="148"/>
      <c r="F5" s="148"/>
      <c r="G5" s="149"/>
      <c r="H5" s="150" t="s">
        <v>10</v>
      </c>
      <c r="I5" s="151"/>
      <c r="J5" s="151"/>
      <c r="K5" s="151"/>
      <c r="L5" s="152"/>
      <c r="M5" s="34" t="s">
        <v>7</v>
      </c>
      <c r="N5" s="94" t="s">
        <v>16</v>
      </c>
      <c r="O5" s="34" t="s">
        <v>0</v>
      </c>
      <c r="P5" s="36" t="s">
        <v>1</v>
      </c>
      <c r="Q5" s="36" t="s">
        <v>90</v>
      </c>
      <c r="R5" s="37" t="s">
        <v>8</v>
      </c>
      <c r="S5" s="89" t="s">
        <v>28</v>
      </c>
    </row>
    <row r="6" spans="1:27" x14ac:dyDescent="0.3">
      <c r="A6" s="38"/>
      <c r="B6" s="39"/>
      <c r="C6" s="40" t="s">
        <v>40</v>
      </c>
      <c r="D6" s="41" t="s">
        <v>59</v>
      </c>
      <c r="E6" s="41" t="s">
        <v>43</v>
      </c>
      <c r="F6" s="41" t="s">
        <v>43</v>
      </c>
      <c r="G6" s="42" t="s">
        <v>69</v>
      </c>
      <c r="H6" s="40" t="s">
        <v>40</v>
      </c>
      <c r="I6" s="41" t="s">
        <v>59</v>
      </c>
      <c r="J6" s="41" t="s">
        <v>43</v>
      </c>
      <c r="K6" s="43" t="s">
        <v>43</v>
      </c>
      <c r="L6" s="42" t="s">
        <v>69</v>
      </c>
      <c r="M6" s="44" t="s">
        <v>9</v>
      </c>
      <c r="N6" s="95" t="s">
        <v>89</v>
      </c>
      <c r="O6" s="38"/>
      <c r="P6" s="45"/>
      <c r="Q6" s="45"/>
      <c r="R6" s="46" t="s">
        <v>11</v>
      </c>
      <c r="S6" s="39"/>
    </row>
    <row r="7" spans="1:27" x14ac:dyDescent="0.3">
      <c r="A7" s="38"/>
      <c r="B7" s="39"/>
      <c r="C7" s="44"/>
      <c r="D7" s="47"/>
      <c r="E7" s="47" t="s">
        <v>50</v>
      </c>
      <c r="F7" s="47" t="s">
        <v>48</v>
      </c>
      <c r="G7" s="42" t="s">
        <v>49</v>
      </c>
      <c r="H7" s="44"/>
      <c r="I7" s="47"/>
      <c r="J7" s="47" t="s">
        <v>50</v>
      </c>
      <c r="K7" s="48" t="s">
        <v>48</v>
      </c>
      <c r="L7" s="42" t="s">
        <v>49</v>
      </c>
      <c r="M7" s="44"/>
      <c r="N7" s="95"/>
      <c r="O7" s="38"/>
      <c r="P7" s="45"/>
      <c r="Q7" s="45"/>
      <c r="R7" s="46"/>
      <c r="S7" s="39"/>
    </row>
    <row r="8" spans="1:27" ht="16.2" thickBot="1" x14ac:dyDescent="0.35">
      <c r="A8" s="49"/>
      <c r="B8" s="50" t="s">
        <v>72</v>
      </c>
      <c r="C8" s="49"/>
      <c r="D8" s="51" t="s">
        <v>41</v>
      </c>
      <c r="E8" s="51" t="s">
        <v>87</v>
      </c>
      <c r="F8" s="51" t="s">
        <v>73</v>
      </c>
      <c r="G8" s="50" t="s">
        <v>74</v>
      </c>
      <c r="H8" s="49"/>
      <c r="I8" s="51" t="s">
        <v>41</v>
      </c>
      <c r="J8" s="51" t="s">
        <v>88</v>
      </c>
      <c r="K8" s="51" t="s">
        <v>75</v>
      </c>
      <c r="L8" s="50" t="s">
        <v>76</v>
      </c>
      <c r="M8" s="52" t="s">
        <v>14</v>
      </c>
      <c r="N8" s="96" t="s">
        <v>6</v>
      </c>
      <c r="O8" s="44" t="s">
        <v>13</v>
      </c>
      <c r="P8" s="47" t="s">
        <v>13</v>
      </c>
      <c r="Q8" s="47" t="s">
        <v>13</v>
      </c>
      <c r="R8" s="46" t="s">
        <v>12</v>
      </c>
      <c r="S8" s="39"/>
    </row>
    <row r="9" spans="1:27" ht="22.5" customHeight="1" x14ac:dyDescent="0.3">
      <c r="A9" s="154" t="s">
        <v>38</v>
      </c>
      <c r="B9" s="53">
        <v>5</v>
      </c>
      <c r="C9" s="54" t="s">
        <v>39</v>
      </c>
      <c r="D9" s="55" t="s">
        <v>42</v>
      </c>
      <c r="E9" s="55">
        <v>24</v>
      </c>
      <c r="F9" s="63">
        <f>MROUND(IF(D9="Circular", VLOOKUP($E9, Cir[], 4), VLOOKUP($E9, Ellipt[], 6)),0.01)</f>
        <v>2.5</v>
      </c>
      <c r="G9" s="64">
        <f>MROUND(IF(D9="Circular", VLOOKUP($E9, Cir[], 4), VLOOKUP($E9, Ellipt[], 6))+4/12,0.01)</f>
        <v>2.83</v>
      </c>
      <c r="H9" s="54" t="s">
        <v>51</v>
      </c>
      <c r="I9" s="55" t="s">
        <v>42</v>
      </c>
      <c r="J9" s="55">
        <v>18</v>
      </c>
      <c r="K9" s="63">
        <f>MROUND(IF(I9="Circular", VLOOKUP($J9, Cir[], 4), VLOOKUP($J9, Ellipt[], 6)),0.01)</f>
        <v>1.92</v>
      </c>
      <c r="L9" s="64">
        <f>MROUND(IF(I9="Circular", VLOOKUP($J9, Cir[], 4), VLOOKUP($J9, Ellipt[], 6))+4/12,0.01)</f>
        <v>2.25</v>
      </c>
      <c r="M9" s="54">
        <v>80</v>
      </c>
      <c r="N9" s="90">
        <v>1</v>
      </c>
      <c r="O9" s="101">
        <f>IFERROR(((180/PI())*ASIN((G9/$B9))),"ANGLE CAN NOT BE MEASURED")</f>
        <v>34.471761944725095</v>
      </c>
      <c r="P9" s="102">
        <f>IFERROR(((180/PI())*ASIN((L9/$B9))),"ANGLE CAN NOT BE MEASURED")</f>
        <v>26.743683950403007</v>
      </c>
      <c r="Q9" s="102">
        <f>IFERROR((M9-(O9+P9)),"ANGLE CAN NOT BE MEASURED")</f>
        <v>18.784554104871901</v>
      </c>
      <c r="R9" s="103">
        <f>IFERROR((($B9)/2*(Q9*PI()/180)),"ARC LENGTH CAN NOT BE MEASURED")</f>
        <v>0.81963079412257722</v>
      </c>
      <c r="S9" s="107" t="str">
        <f>IF(R9="ARC LENGTH CAN NOT BE MEASURED","Does Not Meet Requirement",IF(R9&gt;N9,"Meets Requirement","Does Not Meet Requirement"))</f>
        <v>Does Not Meet Requirement</v>
      </c>
    </row>
    <row r="10" spans="1:27" ht="31.5" customHeight="1" x14ac:dyDescent="0.3">
      <c r="A10" s="155"/>
      <c r="B10" s="56">
        <v>5</v>
      </c>
      <c r="C10" s="57" t="s">
        <v>39</v>
      </c>
      <c r="D10" s="58" t="s">
        <v>45</v>
      </c>
      <c r="E10" s="58">
        <v>24</v>
      </c>
      <c r="F10" s="65">
        <f>MROUND(IF(D10="Circular", VLOOKUP($E10, Cir[], 4), VLOOKUP($E10, Ellipt[], 6)),0.01)</f>
        <v>3.04</v>
      </c>
      <c r="G10" s="66">
        <f>MROUND(IF(D10="Circular", VLOOKUP($E10, Cir[], 4), VLOOKUP($E10, Ellipt[], 6))+4/12,0.01)</f>
        <v>3.38</v>
      </c>
      <c r="H10" s="57" t="s">
        <v>52</v>
      </c>
      <c r="I10" s="58" t="s">
        <v>45</v>
      </c>
      <c r="J10" s="58">
        <v>30</v>
      </c>
      <c r="K10" s="63">
        <f>MROUND(IF(I10="Circular", VLOOKUP($J10, Cir[], 4), VLOOKUP($J10, Ellipt[], 6)),0.01)</f>
        <v>3.79</v>
      </c>
      <c r="L10" s="64">
        <f>MROUND(IF(I10="Circular", VLOOKUP($J10, Cir[], 4), VLOOKUP($J10, Ellipt[], 6))+4/12,0.01)</f>
        <v>4.13</v>
      </c>
      <c r="M10" s="57">
        <v>180</v>
      </c>
      <c r="N10" s="91">
        <v>1</v>
      </c>
      <c r="O10" s="97">
        <f>IFERROR(((180/PI())*ASIN((G10/$B10))),"ANGLE CAN NOT BE MEASURED")</f>
        <v>42.531854169888462</v>
      </c>
      <c r="P10" s="93">
        <f>IFERROR(((180/PI())*ASIN((L10/$B10))),"ANGLE CAN NOT BE MEASURED")</f>
        <v>55.690007312096874</v>
      </c>
      <c r="Q10" s="93">
        <f>IFERROR((M10-(O10+P10)),"ANGLE CAN NOT BE MEASURED")</f>
        <v>81.778138518014657</v>
      </c>
      <c r="R10" s="100">
        <f>IFERROR((($B10)/2*(Q10*PI()/180)),"ARC LENGTH CAN NOT BE MEASURED")</f>
        <v>3.5682444332283794</v>
      </c>
      <c r="S10" s="122" t="str">
        <f>IF(R10="ARC LENGTH CAN NOT BE MEASURED","Does Not Meet Requirement",IF(R10&gt;N10,"Meets Requirement","Does Not Meet Requirement"))</f>
        <v>Meets Requirement</v>
      </c>
    </row>
    <row r="11" spans="1:27" ht="36.75" customHeight="1" thickBot="1" x14ac:dyDescent="0.35">
      <c r="A11" s="59" t="s">
        <v>54</v>
      </c>
      <c r="B11" s="60">
        <v>6</v>
      </c>
      <c r="C11" s="59" t="s">
        <v>55</v>
      </c>
      <c r="D11" s="61" t="s">
        <v>42</v>
      </c>
      <c r="E11" s="61">
        <v>30</v>
      </c>
      <c r="F11" s="67">
        <f>MROUND(IF(D11="Circular", VLOOKUP($E11, Cir[], 4), VLOOKUP($E11, Ellipt[], 6)),0.01)</f>
        <v>3.08</v>
      </c>
      <c r="G11" s="68">
        <f>MROUND(IF(D11="Circular", VLOOKUP($E11, Cir[], 4), VLOOKUP($E11, Ellipt[], 6))+4/12,0.01)</f>
        <v>3.41</v>
      </c>
      <c r="H11" s="59" t="s">
        <v>53</v>
      </c>
      <c r="I11" s="61" t="s">
        <v>42</v>
      </c>
      <c r="J11" s="61">
        <v>30</v>
      </c>
      <c r="K11" s="69">
        <f>MROUND(IF(I11="Circular", VLOOKUP($J11, Cir[], 4), VLOOKUP($J11, Ellipt[], 6)),0.01)</f>
        <v>3.08</v>
      </c>
      <c r="L11" s="70">
        <f>MROUND(IF(I11="Circular", VLOOKUP($J11, Cir[], 4), VLOOKUP($J11, Ellipt[], 6))+4/12,0.01)</f>
        <v>3.41</v>
      </c>
      <c r="M11" s="59">
        <v>90</v>
      </c>
      <c r="N11" s="92">
        <v>1</v>
      </c>
      <c r="O11" s="98">
        <f>IFERROR(((180/PI())*ASIN((G11/$B11))),"ANGLE CAN NOT BE MEASURED")</f>
        <v>34.634085604980349</v>
      </c>
      <c r="P11" s="99">
        <f>IFERROR(((180/PI())*ASIN((L11/$B11))),"ANGLE CAN NOT BE MEASURED")</f>
        <v>34.634085604980349</v>
      </c>
      <c r="Q11" s="99">
        <f>IFERROR((M11-(O11+P11)),"ANGLE CAN NOT BE MEASURED")</f>
        <v>20.731828790039302</v>
      </c>
      <c r="R11" s="104">
        <f>IFERROR((($B11)/2*(Q11*PI()/180)),"ARC LENGTH CAN NOT BE MEASURED")</f>
        <v>1.085516017037814</v>
      </c>
      <c r="S11" s="119" t="str">
        <f>IF(R11="ARC LENGTH CAN NOT BE MEASURED","Does Not Meet Requirement",IF(R11&gt;N11,"Meets Requirement","Does Not Meet Requirement"))</f>
        <v>Meets Requirement</v>
      </c>
      <c r="X11" s="146"/>
      <c r="Y11" s="146"/>
      <c r="Z11" s="146"/>
      <c r="AA11" s="146"/>
    </row>
    <row r="12" spans="1:27" x14ac:dyDescent="0.3">
      <c r="X12" s="146"/>
      <c r="Y12" s="146"/>
      <c r="Z12" s="146"/>
      <c r="AA12" s="146"/>
    </row>
    <row r="13" spans="1:27" x14ac:dyDescent="0.3">
      <c r="A13" s="31" t="s">
        <v>93</v>
      </c>
      <c r="P13" s="129"/>
      <c r="Q13" s="129"/>
      <c r="R13" s="129"/>
      <c r="S13" s="129"/>
    </row>
    <row r="14" spans="1:27" x14ac:dyDescent="0.3">
      <c r="P14" s="129"/>
      <c r="Q14" s="129"/>
      <c r="R14" s="129"/>
      <c r="S14" s="129"/>
    </row>
    <row r="15" spans="1:27" ht="18" x14ac:dyDescent="0.35">
      <c r="A15" s="144" t="s">
        <v>99</v>
      </c>
    </row>
    <row r="19" spans="18:18" x14ac:dyDescent="0.3">
      <c r="R19" s="62"/>
    </row>
    <row r="1048568" spans="3:12" x14ac:dyDescent="0.3">
      <c r="C1048568" s="72">
        <f t="shared" ref="C1048568:L1048568" si="0">SUM(C9:C1048567)</f>
        <v>0</v>
      </c>
      <c r="D1048568" s="72">
        <f t="shared" si="0"/>
        <v>0</v>
      </c>
      <c r="E1048568" s="72">
        <f t="shared" si="0"/>
        <v>78</v>
      </c>
      <c r="F1048568" s="73">
        <f t="shared" si="0"/>
        <v>8.620000000000001</v>
      </c>
      <c r="G1048568" s="73">
        <f t="shared" si="0"/>
        <v>9.620000000000001</v>
      </c>
      <c r="H1048568" s="72">
        <f t="shared" si="0"/>
        <v>0</v>
      </c>
      <c r="I1048568" s="72">
        <f t="shared" si="0"/>
        <v>0</v>
      </c>
      <c r="J1048568" s="72">
        <f t="shared" si="0"/>
        <v>78</v>
      </c>
      <c r="K1048568" s="73">
        <f t="shared" si="0"/>
        <v>8.7899999999999991</v>
      </c>
      <c r="L1048568" s="73">
        <f t="shared" si="0"/>
        <v>9.7899999999999991</v>
      </c>
    </row>
  </sheetData>
  <mergeCells count="5">
    <mergeCell ref="X11:AA12"/>
    <mergeCell ref="C5:G5"/>
    <mergeCell ref="H5:L5"/>
    <mergeCell ref="A1:S1"/>
    <mergeCell ref="A9:A10"/>
  </mergeCells>
  <conditionalFormatting sqref="S9">
    <cfRule type="containsText" dxfId="53" priority="19" operator="containsText" text="Does Not Meet Requirement">
      <formula>NOT(ISERROR(SEARCH("Does Not Meet Requirement",S9)))</formula>
    </cfRule>
    <cfRule type="containsText" dxfId="52" priority="20" operator="containsText" text="Meets Requirement">
      <formula>NOT(ISERROR(SEARCH("Meets Requirement",S9)))</formula>
    </cfRule>
  </conditionalFormatting>
  <conditionalFormatting sqref="O9:Q9">
    <cfRule type="containsText" dxfId="51" priority="12" operator="containsText" text="ANGLE CAN NOT BE MEASURED">
      <formula>NOT(ISERROR(SEARCH("ANGLE CAN NOT BE MEASURED",O9)))</formula>
    </cfRule>
  </conditionalFormatting>
  <conditionalFormatting sqref="R9">
    <cfRule type="containsText" dxfId="50" priority="9" operator="containsText" text="ARC LENGTH CAN NOT BE MEASURED">
      <formula>NOT(ISERROR(SEARCH("ARC LENGTH CAN NOT BE MEASURED",R9)))</formula>
    </cfRule>
  </conditionalFormatting>
  <conditionalFormatting sqref="O10:Q10">
    <cfRule type="containsText" dxfId="49" priority="8" operator="containsText" text="ANGLE CAN NOT BE MEASURED">
      <formula>NOT(ISERROR(SEARCH("ANGLE CAN NOT BE MEASURED",O10)))</formula>
    </cfRule>
  </conditionalFormatting>
  <conditionalFormatting sqref="R10">
    <cfRule type="containsText" dxfId="48" priority="7" operator="containsText" text="ARC LENGTH CAN NOT BE MEASURED">
      <formula>NOT(ISERROR(SEARCH("ARC LENGTH CAN NOT BE MEASURED",R10)))</formula>
    </cfRule>
  </conditionalFormatting>
  <conditionalFormatting sqref="O11:Q11">
    <cfRule type="containsText" dxfId="47" priority="6" operator="containsText" text="ANGLE CAN NOT BE MEASURED">
      <formula>NOT(ISERROR(SEARCH("ANGLE CAN NOT BE MEASURED",O11)))</formula>
    </cfRule>
  </conditionalFormatting>
  <conditionalFormatting sqref="R11">
    <cfRule type="containsText" dxfId="46" priority="5" operator="containsText" text="ARC LENGTH CAN NOT BE MEASURED">
      <formula>NOT(ISERROR(SEARCH("ARC LENGTH CAN NOT BE MEASURED",R11)))</formula>
    </cfRule>
  </conditionalFormatting>
  <conditionalFormatting sqref="S10">
    <cfRule type="containsText" dxfId="45" priority="3" operator="containsText" text="Does Not Meet Requirement">
      <formula>NOT(ISERROR(SEARCH("Does Not Meet Requirement",S10)))</formula>
    </cfRule>
    <cfRule type="containsText" dxfId="44" priority="4" operator="containsText" text="Meets Requirement">
      <formula>NOT(ISERROR(SEARCH("Meets Requirement",S10)))</formula>
    </cfRule>
  </conditionalFormatting>
  <conditionalFormatting sqref="S11">
    <cfRule type="containsText" dxfId="43" priority="1" operator="containsText" text="Does Not Meet Requirement">
      <formula>NOT(ISERROR(SEARCH("Does Not Meet Requirement",S11)))</formula>
    </cfRule>
    <cfRule type="containsText" dxfId="42" priority="2" operator="containsText" text="Meets Requirement">
      <formula>NOT(ISERROR(SEARCH("Meets Requirement",S11)))</formula>
    </cfRule>
  </conditionalFormatting>
  <dataValidations count="1">
    <dataValidation type="list" allowBlank="1" showInputMessage="1" showErrorMessage="1" sqref="D9:D11 I9:I11" xr:uid="{C5E52B01-160A-4EF4-93D4-C7FC25198B56}">
      <formula1>"Circular, Elliptical"</formula1>
    </dataValidation>
  </dataValidations>
  <pageMargins left="0.7" right="0.7" top="1.25" bottom="1" header="0.3" footer="0.3"/>
  <pageSetup paperSize="3" scale="70" orientation="landscape" r:id="rId1"/>
  <headerFooter scaleWithDoc="0">
    <oddHeader>&amp;RMADE BY:
DATE:
CHECKED BY:
DATE:</oddHeader>
  </headerFooter>
  <colBreaks count="1" manualBreakCount="1">
    <brk id="19" max="67"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F889DC-B259-42A8-9426-C989D67CBBC2}">
  <sheetPr>
    <pageSetUpPr fitToPage="1"/>
  </sheetPr>
  <dimension ref="A1:AM14"/>
  <sheetViews>
    <sheetView zoomScale="80" zoomScaleNormal="80" workbookViewId="0">
      <selection activeCell="A2" sqref="A2"/>
    </sheetView>
  </sheetViews>
  <sheetFormatPr defaultColWidth="9.109375" defaultRowHeight="14.4" outlineLevelCol="1" x14ac:dyDescent="0.3"/>
  <cols>
    <col min="1" max="1" width="9.109375" style="31"/>
    <col min="2" max="2" width="10" style="137" bestFit="1" customWidth="1"/>
    <col min="3" max="5" width="11.6640625" style="31" bestFit="1" customWidth="1"/>
    <col min="6" max="6" width="13.44140625" style="31" customWidth="1" outlineLevel="1"/>
    <col min="7" max="7" width="16.109375" style="31" customWidth="1" outlineLevel="1"/>
    <col min="8" max="8" width="13.6640625" style="31" customWidth="1" outlineLevel="1"/>
    <col min="9" max="9" width="13.6640625" style="31" customWidth="1"/>
    <col min="10" max="10" width="11.6640625" style="31" bestFit="1" customWidth="1"/>
    <col min="11" max="12" width="11.6640625" style="31" customWidth="1"/>
    <col min="13" max="13" width="13.44140625" style="31" customWidth="1" outlineLevel="1"/>
    <col min="14" max="14" width="16.109375" style="31" customWidth="1" outlineLevel="1"/>
    <col min="15" max="15" width="13.6640625" style="31" customWidth="1" outlineLevel="1"/>
    <col min="16" max="16" width="13.6640625" style="31" customWidth="1"/>
    <col min="17" max="17" width="11.6640625" style="31" bestFit="1" customWidth="1"/>
    <col min="18" max="19" width="11.6640625" style="31" customWidth="1"/>
    <col min="20" max="20" width="13.44140625" style="31" customWidth="1" outlineLevel="1"/>
    <col min="21" max="21" width="16.109375" style="31" customWidth="1" outlineLevel="1"/>
    <col min="22" max="22" width="13.6640625" style="31" customWidth="1" outlineLevel="1"/>
    <col min="23" max="23" width="13.6640625" style="31" customWidth="1"/>
    <col min="24" max="24" width="11.6640625" style="31" bestFit="1" customWidth="1"/>
    <col min="25" max="26" width="11.6640625" style="31" customWidth="1"/>
    <col min="27" max="27" width="13.44140625" style="31" customWidth="1" outlineLevel="1"/>
    <col min="28" max="28" width="16.109375" style="31" customWidth="1" outlineLevel="1"/>
    <col min="29" max="29" width="13.6640625" style="31" customWidth="1" outlineLevel="1"/>
    <col min="30" max="30" width="13.6640625" style="31" customWidth="1"/>
    <col min="31" max="32" width="14.6640625" style="31" customWidth="1"/>
    <col min="33" max="33" width="16.88671875" style="31" customWidth="1"/>
    <col min="34" max="34" width="28.33203125" style="31" customWidth="1"/>
    <col min="35" max="35" width="17.5546875" style="31" customWidth="1"/>
    <col min="36" max="36" width="11" style="31" customWidth="1"/>
    <col min="37" max="16384" width="9.109375" style="31"/>
  </cols>
  <sheetData>
    <row r="1" spans="1:39" ht="23.4" x14ac:dyDescent="0.45">
      <c r="A1" s="153" t="s">
        <v>57</v>
      </c>
      <c r="B1" s="153"/>
      <c r="C1" s="153"/>
      <c r="D1" s="153"/>
      <c r="E1" s="153"/>
      <c r="F1" s="153"/>
      <c r="G1" s="153"/>
      <c r="H1" s="153"/>
      <c r="I1" s="153"/>
      <c r="J1" s="153"/>
      <c r="K1" s="153"/>
      <c r="L1" s="153"/>
      <c r="M1" s="153"/>
      <c r="N1" s="153"/>
      <c r="O1" s="153"/>
      <c r="P1" s="153"/>
      <c r="Q1" s="153"/>
      <c r="R1" s="153"/>
      <c r="S1" s="153"/>
      <c r="T1" s="153"/>
      <c r="U1" s="153"/>
      <c r="V1" s="153"/>
      <c r="W1" s="153"/>
      <c r="X1" s="153"/>
      <c r="Y1" s="153"/>
      <c r="Z1" s="153"/>
      <c r="AA1" s="153"/>
      <c r="AB1" s="153"/>
      <c r="AC1" s="153"/>
      <c r="AD1" s="153"/>
      <c r="AE1" s="153"/>
      <c r="AF1" s="153"/>
      <c r="AG1" s="153"/>
      <c r="AH1" s="153"/>
    </row>
    <row r="2" spans="1:39" ht="18.75" customHeight="1" x14ac:dyDescent="0.45">
      <c r="A2" s="84"/>
      <c r="B2" s="136"/>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32" t="s">
        <v>2</v>
      </c>
      <c r="AH2" s="84"/>
    </row>
    <row r="3" spans="1:39" x14ac:dyDescent="0.3">
      <c r="AG3" s="33" t="s">
        <v>3</v>
      </c>
    </row>
    <row r="4" spans="1:39" ht="15" thickBot="1" x14ac:dyDescent="0.35">
      <c r="AG4" s="106" t="s">
        <v>86</v>
      </c>
    </row>
    <row r="5" spans="1:39" x14ac:dyDescent="0.3">
      <c r="A5" s="34" t="s">
        <v>37</v>
      </c>
      <c r="B5" s="138" t="s">
        <v>29</v>
      </c>
      <c r="C5" s="156" t="s">
        <v>5</v>
      </c>
      <c r="D5" s="157"/>
      <c r="E5" s="157"/>
      <c r="F5" s="157"/>
      <c r="G5" s="157"/>
      <c r="H5" s="157"/>
      <c r="I5" s="157"/>
      <c r="J5" s="162" t="s">
        <v>10</v>
      </c>
      <c r="K5" s="163"/>
      <c r="L5" s="163"/>
      <c r="M5" s="164"/>
      <c r="N5" s="164"/>
      <c r="O5" s="164"/>
      <c r="P5" s="165"/>
      <c r="Q5" s="166" t="s">
        <v>19</v>
      </c>
      <c r="R5" s="166"/>
      <c r="S5" s="166"/>
      <c r="T5" s="167"/>
      <c r="U5" s="167"/>
      <c r="V5" s="167"/>
      <c r="W5" s="168"/>
      <c r="X5" s="158" t="s">
        <v>27</v>
      </c>
      <c r="Y5" s="159"/>
      <c r="Z5" s="159"/>
      <c r="AA5" s="160"/>
      <c r="AB5" s="160"/>
      <c r="AC5" s="160"/>
      <c r="AD5" s="161"/>
      <c r="AE5" s="169" t="s">
        <v>25</v>
      </c>
      <c r="AF5" s="170"/>
      <c r="AG5" s="170"/>
      <c r="AH5" s="171"/>
    </row>
    <row r="6" spans="1:39" x14ac:dyDescent="0.3">
      <c r="A6" s="38"/>
      <c r="B6" s="139"/>
      <c r="C6" s="74" t="s">
        <v>58</v>
      </c>
      <c r="D6" s="41" t="s">
        <v>59</v>
      </c>
      <c r="E6" s="41" t="s">
        <v>43</v>
      </c>
      <c r="F6" s="41" t="s">
        <v>43</v>
      </c>
      <c r="G6" s="41" t="s">
        <v>69</v>
      </c>
      <c r="H6" s="41" t="s">
        <v>17</v>
      </c>
      <c r="I6" s="85" t="s">
        <v>18</v>
      </c>
      <c r="J6" s="74" t="s">
        <v>58</v>
      </c>
      <c r="K6" s="41" t="s">
        <v>59</v>
      </c>
      <c r="L6" s="41" t="s">
        <v>43</v>
      </c>
      <c r="M6" s="41" t="s">
        <v>43</v>
      </c>
      <c r="N6" s="41" t="s">
        <v>69</v>
      </c>
      <c r="O6" s="41" t="s">
        <v>17</v>
      </c>
      <c r="P6" s="42" t="s">
        <v>18</v>
      </c>
      <c r="Q6" s="116" t="s">
        <v>58</v>
      </c>
      <c r="R6" s="41" t="s">
        <v>59</v>
      </c>
      <c r="S6" s="41" t="s">
        <v>43</v>
      </c>
      <c r="T6" s="41" t="s">
        <v>43</v>
      </c>
      <c r="U6" s="41" t="s">
        <v>69</v>
      </c>
      <c r="V6" s="41" t="s">
        <v>17</v>
      </c>
      <c r="W6" s="42" t="s">
        <v>18</v>
      </c>
      <c r="X6" s="74" t="s">
        <v>58</v>
      </c>
      <c r="Y6" s="41" t="s">
        <v>59</v>
      </c>
      <c r="Z6" s="41" t="s">
        <v>43</v>
      </c>
      <c r="AA6" s="41" t="s">
        <v>43</v>
      </c>
      <c r="AB6" s="41" t="s">
        <v>69</v>
      </c>
      <c r="AC6" s="41" t="s">
        <v>17</v>
      </c>
      <c r="AD6" s="85" t="s">
        <v>18</v>
      </c>
      <c r="AE6" s="123" t="s">
        <v>22</v>
      </c>
      <c r="AF6" s="88" t="s">
        <v>20</v>
      </c>
      <c r="AG6" s="88" t="s">
        <v>26</v>
      </c>
      <c r="AH6" s="124" t="s">
        <v>15</v>
      </c>
      <c r="AJ6" s="75"/>
      <c r="AL6" s="75"/>
      <c r="AM6" s="75"/>
    </row>
    <row r="7" spans="1:39" ht="15.6" x14ac:dyDescent="0.3">
      <c r="A7" s="38"/>
      <c r="B7" s="139"/>
      <c r="C7" s="76"/>
      <c r="D7" s="47"/>
      <c r="E7" s="47" t="s">
        <v>50</v>
      </c>
      <c r="F7" s="47" t="s">
        <v>48</v>
      </c>
      <c r="G7" s="41" t="s">
        <v>49</v>
      </c>
      <c r="H7" s="47" t="s">
        <v>60</v>
      </c>
      <c r="I7" s="86" t="s">
        <v>81</v>
      </c>
      <c r="J7" s="76"/>
      <c r="K7" s="47"/>
      <c r="L7" s="47" t="s">
        <v>50</v>
      </c>
      <c r="M7" s="47" t="s">
        <v>48</v>
      </c>
      <c r="N7" s="41" t="s">
        <v>49</v>
      </c>
      <c r="O7" s="47" t="s">
        <v>65</v>
      </c>
      <c r="P7" s="77" t="s">
        <v>84</v>
      </c>
      <c r="Q7" s="117"/>
      <c r="R7" s="47"/>
      <c r="S7" s="47" t="s">
        <v>50</v>
      </c>
      <c r="T7" s="47" t="s">
        <v>48</v>
      </c>
      <c r="U7" s="41" t="s">
        <v>49</v>
      </c>
      <c r="V7" s="47" t="s">
        <v>66</v>
      </c>
      <c r="W7" s="77" t="s">
        <v>83</v>
      </c>
      <c r="X7" s="76"/>
      <c r="Y7" s="47"/>
      <c r="Z7" s="47" t="s">
        <v>50</v>
      </c>
      <c r="AA7" s="47" t="s">
        <v>48</v>
      </c>
      <c r="AB7" s="41" t="s">
        <v>49</v>
      </c>
      <c r="AC7" s="47" t="s">
        <v>67</v>
      </c>
      <c r="AD7" s="86" t="s">
        <v>82</v>
      </c>
      <c r="AE7" s="125" t="s">
        <v>23</v>
      </c>
      <c r="AF7" s="46" t="s">
        <v>21</v>
      </c>
      <c r="AG7" s="46" t="s">
        <v>21</v>
      </c>
      <c r="AH7" s="39"/>
      <c r="AJ7" s="75"/>
      <c r="AL7" s="75"/>
      <c r="AM7" s="75"/>
    </row>
    <row r="8" spans="1:39" ht="16.2" thickBot="1" x14ac:dyDescent="0.35">
      <c r="A8" s="44"/>
      <c r="B8" s="140" t="s">
        <v>72</v>
      </c>
      <c r="C8" s="78"/>
      <c r="D8" s="47" t="s">
        <v>41</v>
      </c>
      <c r="E8" s="47" t="s">
        <v>87</v>
      </c>
      <c r="F8" s="47" t="s">
        <v>73</v>
      </c>
      <c r="G8" s="47" t="s">
        <v>74</v>
      </c>
      <c r="H8" s="47" t="s">
        <v>13</v>
      </c>
      <c r="I8" s="87" t="s">
        <v>6</v>
      </c>
      <c r="J8" s="78"/>
      <c r="K8" s="47" t="s">
        <v>41</v>
      </c>
      <c r="L8" s="47" t="s">
        <v>88</v>
      </c>
      <c r="M8" s="47" t="s">
        <v>75</v>
      </c>
      <c r="N8" s="47" t="s">
        <v>76</v>
      </c>
      <c r="O8" s="47" t="s">
        <v>13</v>
      </c>
      <c r="P8" s="79" t="s">
        <v>6</v>
      </c>
      <c r="Q8" s="118"/>
      <c r="R8" s="47" t="s">
        <v>41</v>
      </c>
      <c r="S8" s="47" t="s">
        <v>91</v>
      </c>
      <c r="T8" s="47" t="s">
        <v>77</v>
      </c>
      <c r="U8" s="47" t="s">
        <v>78</v>
      </c>
      <c r="V8" s="47" t="s">
        <v>13</v>
      </c>
      <c r="W8" s="79" t="s">
        <v>6</v>
      </c>
      <c r="X8" s="78"/>
      <c r="Y8" s="47" t="s">
        <v>41</v>
      </c>
      <c r="Z8" s="47" t="s">
        <v>92</v>
      </c>
      <c r="AA8" s="47" t="s">
        <v>79</v>
      </c>
      <c r="AB8" s="47" t="s">
        <v>80</v>
      </c>
      <c r="AC8" s="47" t="s">
        <v>13</v>
      </c>
      <c r="AD8" s="87" t="s">
        <v>6</v>
      </c>
      <c r="AE8" s="125" t="s">
        <v>24</v>
      </c>
      <c r="AF8" s="46" t="s">
        <v>6</v>
      </c>
      <c r="AG8" s="46" t="s">
        <v>4</v>
      </c>
      <c r="AH8" s="39"/>
      <c r="AJ8" s="75"/>
      <c r="AL8" s="75"/>
      <c r="AM8" s="75"/>
    </row>
    <row r="9" spans="1:39" s="109" customFormat="1" ht="60" customHeight="1" x14ac:dyDescent="0.3">
      <c r="A9" s="127" t="s">
        <v>38</v>
      </c>
      <c r="B9" s="141">
        <v>8</v>
      </c>
      <c r="C9" s="80" t="s">
        <v>39</v>
      </c>
      <c r="D9" s="81" t="s">
        <v>42</v>
      </c>
      <c r="E9" s="81">
        <v>42</v>
      </c>
      <c r="F9" s="83">
        <f>MROUND(IF(D9="Circular", VLOOKUP($E9, Cir[], 4), VLOOKUP($E9, Ellipt[], 6)),0.01)</f>
        <v>4.25</v>
      </c>
      <c r="G9" s="83">
        <f>MROUND(IF(D9="Circular", VLOOKUP($E9, Cir[], 4), VLOOKUP($E9, Ellipt[], 6))+4/12,0.01)</f>
        <v>4.58</v>
      </c>
      <c r="H9" s="102">
        <f>IFERROR((IF(E9=0,0, 2*(180/PI())*ASIN(((G9)/$B9)))),"ANGLE CAN NOT BE MEASURED")</f>
        <v>69.849485991447466</v>
      </c>
      <c r="I9" s="114">
        <f>IFERROR((IF(E9=0,0,$B9/2*(PI()/180)*H9)),"ARC LENGTH CAN NOT BE MEASURED")</f>
        <v>4.8764140455056566</v>
      </c>
      <c r="J9" s="80" t="s">
        <v>51</v>
      </c>
      <c r="K9" s="81" t="s">
        <v>42</v>
      </c>
      <c r="L9" s="81">
        <v>18</v>
      </c>
      <c r="M9" s="83">
        <f>MROUND(IF(K9="Circular", VLOOKUP(L9, Cir[], 4), VLOOKUP(L9, Ellipt[], 6)),0.01)</f>
        <v>1.92</v>
      </c>
      <c r="N9" s="83">
        <f>MROUND(IF(K9="Circular", VLOOKUP(L9, Cir[], 4), VLOOKUP(L9, Ellipt[], 6))+4/12,0.01)</f>
        <v>2.25</v>
      </c>
      <c r="O9" s="102">
        <f>IFERROR((IF(L9=0,0, 2*(180/PI())*ASIN(((N9)/$B9)))),"ANGLE CAN NOT BE MEASURED")</f>
        <v>32.669645561371993</v>
      </c>
      <c r="P9" s="114">
        <f>IFERROR((IF(L9=0,0,$B9/2*(PI()/180)*O9)),"ARC LENGTH CAN NOT BE MEASURED")</f>
        <v>2.2807715220219702</v>
      </c>
      <c r="Q9" s="80" t="s">
        <v>52</v>
      </c>
      <c r="R9" s="81" t="s">
        <v>42</v>
      </c>
      <c r="S9" s="81">
        <v>24</v>
      </c>
      <c r="T9" s="83">
        <f>MROUND(IF(R9="Circular", VLOOKUP(S9, Cir[], 4), VLOOKUP(S9, Ellipt[], 6)),0.01)</f>
        <v>2.5</v>
      </c>
      <c r="U9" s="83">
        <f>MROUND(IF(R9="Circular", VLOOKUP(S9, Cir[], 4), VLOOKUP(S9, Ellipt[], 6))+4/12,0.01)</f>
        <v>2.83</v>
      </c>
      <c r="V9" s="102">
        <f>IFERROR((IF(S9=0,0, 2*(180/PI())*ASIN(((U9)/$B9)))),"ANGLE CAN NOT BE MEASURED")</f>
        <v>41.433708412479888</v>
      </c>
      <c r="W9" s="114">
        <f>IFERROR((IF(S9=0,0,$B9/2*(PI()/180)*V9)),"ARC LENGTH CAN NOT BE MEASURED")</f>
        <v>2.8926185324361873</v>
      </c>
      <c r="X9" s="80" t="s">
        <v>68</v>
      </c>
      <c r="Y9" s="81" t="s">
        <v>42</v>
      </c>
      <c r="Z9" s="81">
        <v>30</v>
      </c>
      <c r="AA9" s="83">
        <f>MROUND(IF(Y9="Circular", VLOOKUP(Z9, Cir[], 4), VLOOKUP(Z9, Ellipt[], 6)),0.01)</f>
        <v>3.08</v>
      </c>
      <c r="AB9" s="83">
        <f>MROUND(IF(Y9="Circular", VLOOKUP(Z9, Cir[], 4), VLOOKUP(Z9, Ellipt[], 6))+4/12,0.01)</f>
        <v>3.41</v>
      </c>
      <c r="AC9" s="102">
        <f>IFERROR((IF(Z9=0,0, 2*(180/PI())*ASIN(((AB9)/$B9)))),"ANGLE CAN NOT BE MEASURED")</f>
        <v>50.459620033880199</v>
      </c>
      <c r="AD9" s="107">
        <f>IFERROR((IF(Z9=0,0,$B9/2*(PI()/180)*AC9)),"ARC LENGTH CAN NOT BE MEASURED")</f>
        <v>3.5227460355860085</v>
      </c>
      <c r="AE9" s="120">
        <f>PI()*$B9</f>
        <v>25.132741228718345</v>
      </c>
      <c r="AF9" s="102">
        <f>IFERROR((I9+P9+W9+AD9),"REMOVAL CAN NOT BE MEASURED")</f>
        <v>13.572550135549823</v>
      </c>
      <c r="AG9" s="108">
        <f>IFERROR((MROUND(AF9/AE9, 0.01)),"% CAN NOT BE DETERMINED")</f>
        <v>0.54</v>
      </c>
      <c r="AH9" s="112" t="str">
        <f>IF(AG9&lt;0.6,"Meets Requirement","Does Not Meet Requirement")</f>
        <v>Meets Requirement</v>
      </c>
      <c r="AJ9" s="110"/>
      <c r="AL9" s="111"/>
      <c r="AM9" s="111"/>
    </row>
    <row r="10" spans="1:39" s="109" customFormat="1" ht="78" customHeight="1" thickBot="1" x14ac:dyDescent="0.35">
      <c r="A10" s="128" t="s">
        <v>54</v>
      </c>
      <c r="B10" s="142">
        <v>5</v>
      </c>
      <c r="C10" s="59" t="s">
        <v>55</v>
      </c>
      <c r="D10" s="61" t="s">
        <v>45</v>
      </c>
      <c r="E10" s="61">
        <v>24</v>
      </c>
      <c r="F10" s="71">
        <f>MROUND(IF(D10="Circular", VLOOKUP($E10, Cir[], 4), VLOOKUP($E10, Ellipt[], 6)),0.01)</f>
        <v>3.04</v>
      </c>
      <c r="G10" s="71">
        <f>MROUND(IF(D10="Circular", VLOOKUP($E10, Cir[], 4), VLOOKUP($E10, Ellipt[], 6))+4/12,0.01)</f>
        <v>3.38</v>
      </c>
      <c r="H10" s="143">
        <f>IFERROR((IF(E10=0,0, 2*(180/PI())*ASIN(((G10)/$B10)))),"ANGLE CAN NOT BE MEASURED")</f>
        <v>85.063708339776923</v>
      </c>
      <c r="I10" s="115">
        <f>IFERROR((IF(E10=0,0,$B10/2*(PI()/180)*H10)),"ARC LENGTH CAN NOT BE MEASURED")</f>
        <v>3.7116044612131667</v>
      </c>
      <c r="J10" s="59" t="s">
        <v>53</v>
      </c>
      <c r="K10" s="61" t="s">
        <v>45</v>
      </c>
      <c r="L10" s="61">
        <v>30</v>
      </c>
      <c r="M10" s="71">
        <f>MROUND(IF(K10="Circular", VLOOKUP(L10, Cir[], 4), VLOOKUP(L10, Ellipt[], 6)),0.01)</f>
        <v>3.79</v>
      </c>
      <c r="N10" s="71">
        <f>MROUND(IF(K10="Circular", VLOOKUP(L10, Cir[], 4), VLOOKUP(L10, Ellipt[], 6))+4/12,0.01)</f>
        <v>4.13</v>
      </c>
      <c r="O10" s="99">
        <f>IFERROR((IF(L10=0,0, 2*(180/PI())*ASIN(((N10)/$B10)))),"ANGLE CAN NOT BE MEASURED")</f>
        <v>111.38001462419375</v>
      </c>
      <c r="P10" s="115">
        <f>IFERROR((IF(L10=0,0,$B10/2*(PI()/180)*O10)),"ARC LENGTH CAN NOT BE MEASURED")</f>
        <v>4.8598699402790384</v>
      </c>
      <c r="Q10" s="59"/>
      <c r="R10" s="61"/>
      <c r="S10" s="61"/>
      <c r="T10" s="71" t="e">
        <f>MROUND(IF(R10="Circular", VLOOKUP(S10, Cir[], 4), VLOOKUP(S10, Ellipt[], 6)),0.01)</f>
        <v>#N/A</v>
      </c>
      <c r="U10" s="71" t="e">
        <f>MROUND(IF(R10="Circular", VLOOKUP(S10, Cir[], 4), VLOOKUP(S10, Ellipt[], 6))+4/12,0.01)</f>
        <v>#N/A</v>
      </c>
      <c r="V10" s="99">
        <f>IFERROR((IF(S10=0,0, 2*(180/PI())*ASIN(((U10)/$B10)))),"ANGLE CAN NOT BE MEASURED")</f>
        <v>0</v>
      </c>
      <c r="W10" s="115">
        <f>IFERROR((IF(S10=0,0,$B10/2*(PI()/180)*V10)),"ARC LENGTH CAN NOT BE MEASURED")</f>
        <v>0</v>
      </c>
      <c r="X10" s="59"/>
      <c r="Y10" s="61"/>
      <c r="Z10" s="61"/>
      <c r="AA10" s="71" t="e">
        <f>MROUND(IF(Y10="Circular", VLOOKUP(Z10, Cir[], 4), VLOOKUP(Z10, Ellipt[], 6)),0.01)</f>
        <v>#N/A</v>
      </c>
      <c r="AB10" s="71" t="e">
        <f>MROUND(IF(Y10="Circular", VLOOKUP(Z10, Cir[], 4), VLOOKUP(Z10, Ellipt[], 6))+4/12,0.01)</f>
        <v>#N/A</v>
      </c>
      <c r="AC10" s="99">
        <f>IFERROR((IF(Z10=0,0, 2*(180/PI())*ASIN(((AB10)/$B10)))),"ANGLE CAN NOT BE MEASURED")</f>
        <v>0</v>
      </c>
      <c r="AD10" s="119">
        <f>IFERROR((IF(Z10=0,0,$B10/2*(PI()/180)*AC10)),"ARC LENGTH CAN NOT BE MEASURED")</f>
        <v>0</v>
      </c>
      <c r="AE10" s="121">
        <f>PI()*$B10</f>
        <v>15.707963267948966</v>
      </c>
      <c r="AF10" s="99">
        <f>IFERROR((I10+P10+W10+AD10),"REMOVAL CAN NOT BE MEASURED")</f>
        <v>8.5714744014922051</v>
      </c>
      <c r="AG10" s="113">
        <f>IFERROR((MROUND(AF10/AE10, 0.01)),"% CAN NOT BE DETERMINED")</f>
        <v>0.55000000000000004</v>
      </c>
      <c r="AH10" s="126" t="str">
        <f>IF(AG10&lt;0.6,"Meets Requirement","Does Not Meet Requirement")</f>
        <v>Meets Requirement</v>
      </c>
      <c r="AJ10" s="110"/>
      <c r="AL10" s="111"/>
      <c r="AM10" s="111"/>
    </row>
    <row r="11" spans="1:39" x14ac:dyDescent="0.3">
      <c r="AE11" s="82"/>
      <c r="AF11" s="82"/>
      <c r="AG11" s="82"/>
      <c r="AH11" s="82"/>
      <c r="AI11" s="82"/>
      <c r="AJ11" s="82"/>
    </row>
    <row r="12" spans="1:39" x14ac:dyDescent="0.3">
      <c r="A12" s="31" t="s">
        <v>94</v>
      </c>
    </row>
    <row r="13" spans="1:39" ht="14.4" customHeight="1" x14ac:dyDescent="0.3"/>
    <row r="14" spans="1:39" ht="14.4" customHeight="1" x14ac:dyDescent="0.35">
      <c r="A14" s="145" t="s">
        <v>98</v>
      </c>
      <c r="AB14" s="129"/>
      <c r="AC14" s="129"/>
      <c r="AD14" s="129"/>
      <c r="AE14" s="129"/>
    </row>
  </sheetData>
  <mergeCells count="6">
    <mergeCell ref="A1:AH1"/>
    <mergeCell ref="C5:I5"/>
    <mergeCell ref="X5:AD5"/>
    <mergeCell ref="J5:P5"/>
    <mergeCell ref="Q5:W5"/>
    <mergeCell ref="AE5:AH5"/>
  </mergeCells>
  <conditionalFormatting sqref="AH9">
    <cfRule type="containsText" dxfId="41" priority="36" operator="containsText" text="Does Not Meet Requirement">
      <formula>NOT(ISERROR(SEARCH("Does Not Meet Requirement",AH9)))</formula>
    </cfRule>
    <cfRule type="containsText" dxfId="40" priority="37" operator="containsText" text="Meets Requirement">
      <formula>NOT(ISERROR(SEARCH("Meets Requirement",AH9)))</formula>
    </cfRule>
  </conditionalFormatting>
  <conditionalFormatting sqref="I9">
    <cfRule type="containsText" dxfId="39" priority="25" operator="containsText" text="ARC LENGTH CAN NOT BE MEASURED">
      <formula>NOT(ISERROR(SEARCH("ARC LENGTH CAN NOT BE MEASURED",I9)))</formula>
    </cfRule>
  </conditionalFormatting>
  <conditionalFormatting sqref="P9">
    <cfRule type="containsText" dxfId="38" priority="24" operator="containsText" text="ARC LENGTH CAN NOT BE MEASURED">
      <formula>NOT(ISERROR(SEARCH("ARC LENGTH CAN NOT BE MEASURED",P9)))</formula>
    </cfRule>
  </conditionalFormatting>
  <conditionalFormatting sqref="W9">
    <cfRule type="containsText" dxfId="37" priority="23" operator="containsText" text="ARC LENGTH CAN NOT BE MEASURED">
      <formula>NOT(ISERROR(SEARCH("ARC LENGTH CAN NOT BE MEASURED",W9)))</formula>
    </cfRule>
  </conditionalFormatting>
  <conditionalFormatting sqref="AD9">
    <cfRule type="containsText" dxfId="36" priority="22" operator="containsText" text="ARC LENGTH CAN NOT BE MEASURED">
      <formula>NOT(ISERROR(SEARCH("ARC LENGTH CAN NOT BE MEASURED",AD9)))</formula>
    </cfRule>
  </conditionalFormatting>
  <conditionalFormatting sqref="AF9">
    <cfRule type="containsText" dxfId="35" priority="21" operator="containsText" text="REMOVAL CAN NOT BE MEASURED">
      <formula>NOT(ISERROR(SEARCH("REMOVAL CAN NOT BE MEASURED",AF9)))</formula>
    </cfRule>
  </conditionalFormatting>
  <conditionalFormatting sqref="AG9">
    <cfRule type="containsText" dxfId="34" priority="20" operator="containsText" text="% CAN NOT BE DETERMINED">
      <formula>NOT(ISERROR(SEARCH("% CAN NOT BE DETERMINED",AG9)))</formula>
    </cfRule>
  </conditionalFormatting>
  <conditionalFormatting sqref="H10">
    <cfRule type="containsText" dxfId="33" priority="19" operator="containsText" text="ANGLE CAN NOT BE MEASURED">
      <formula>NOT(ISERROR(SEARCH("ANGLE CAN NOT BE MEASURED",H10)))</formula>
    </cfRule>
  </conditionalFormatting>
  <conditionalFormatting sqref="I10">
    <cfRule type="containsText" dxfId="32" priority="18" operator="containsText" text="ARC LENGTH CAN NOT BE MEASURED">
      <formula>NOT(ISERROR(SEARCH("ARC LENGTH CAN NOT BE MEASURED",I10)))</formula>
    </cfRule>
  </conditionalFormatting>
  <conditionalFormatting sqref="P10">
    <cfRule type="containsText" dxfId="31" priority="16" operator="containsText" text="ARC LENGTH CAN NOT BE MEASURED">
      <formula>NOT(ISERROR(SEARCH("ARC LENGTH CAN NOT BE MEASURED",P10)))</formula>
    </cfRule>
  </conditionalFormatting>
  <conditionalFormatting sqref="W10">
    <cfRule type="containsText" dxfId="30" priority="14" operator="containsText" text="ARC LENGTH CAN NOT BE MEASURED">
      <formula>NOT(ISERROR(SEARCH("ARC LENGTH CAN NOT BE MEASURED",W10)))</formula>
    </cfRule>
  </conditionalFormatting>
  <conditionalFormatting sqref="AD10">
    <cfRule type="containsText" dxfId="29" priority="12" operator="containsText" text="ARC LENGTH CAN NOT BE MEASURED">
      <formula>NOT(ISERROR(SEARCH("ARC LENGTH CAN NOT BE MEASURED",AD10)))</formula>
    </cfRule>
  </conditionalFormatting>
  <conditionalFormatting sqref="AH10">
    <cfRule type="containsText" dxfId="28" priority="10" operator="containsText" text="Does Not Meet Requirement">
      <formula>NOT(ISERROR(SEARCH("Does Not Meet Requirement",AH10)))</formula>
    </cfRule>
    <cfRule type="containsText" dxfId="27" priority="11" operator="containsText" text="Meets Requirement">
      <formula>NOT(ISERROR(SEARCH("Meets Requirement",AH10)))</formula>
    </cfRule>
  </conditionalFormatting>
  <conditionalFormatting sqref="AF10">
    <cfRule type="containsText" dxfId="26" priority="9" operator="containsText" text="REMOVAL CAN NOT BE MEASURED">
      <formula>NOT(ISERROR(SEARCH("REMOVAL CAN NOT BE MEASURED",AF10)))</formula>
    </cfRule>
  </conditionalFormatting>
  <conditionalFormatting sqref="AG10">
    <cfRule type="containsText" dxfId="25" priority="8" operator="containsText" text="% CAN NOT BE DETERMINED">
      <formula>NOT(ISERROR(SEARCH("% CAN NOT BE DETERMINED",AG10)))</formula>
    </cfRule>
  </conditionalFormatting>
  <conditionalFormatting sqref="H9">
    <cfRule type="containsText" dxfId="24" priority="7" operator="containsText" text="ANGLE CAN NOT BE MEASURED">
      <formula>NOT(ISERROR(SEARCH("ANGLE CAN NOT BE MEASURED",H9)))</formula>
    </cfRule>
  </conditionalFormatting>
  <conditionalFormatting sqref="O10">
    <cfRule type="containsText" dxfId="23" priority="6" operator="containsText" text="ANGLE CAN NOT BE MEASURED">
      <formula>NOT(ISERROR(SEARCH("ANGLE CAN NOT BE MEASURED",O10)))</formula>
    </cfRule>
  </conditionalFormatting>
  <conditionalFormatting sqref="O9">
    <cfRule type="containsText" dxfId="22" priority="5" operator="containsText" text="ANGLE CAN NOT BE MEASURED">
      <formula>NOT(ISERROR(SEARCH("ANGLE CAN NOT BE MEASURED",O9)))</formula>
    </cfRule>
  </conditionalFormatting>
  <conditionalFormatting sqref="V10">
    <cfRule type="containsText" dxfId="21" priority="4" operator="containsText" text="ANGLE CAN NOT BE MEASURED">
      <formula>NOT(ISERROR(SEARCH("ANGLE CAN NOT BE MEASURED",V10)))</formula>
    </cfRule>
  </conditionalFormatting>
  <conditionalFormatting sqref="V9">
    <cfRule type="containsText" dxfId="20" priority="3" operator="containsText" text="ANGLE CAN NOT BE MEASURED">
      <formula>NOT(ISERROR(SEARCH("ANGLE CAN NOT BE MEASURED",V9)))</formula>
    </cfRule>
  </conditionalFormatting>
  <conditionalFormatting sqref="AC10">
    <cfRule type="containsText" dxfId="19" priority="2" operator="containsText" text="ANGLE CAN NOT BE MEASURED">
      <formula>NOT(ISERROR(SEARCH("ANGLE CAN NOT BE MEASURED",AC10)))</formula>
    </cfRule>
  </conditionalFormatting>
  <conditionalFormatting sqref="AC9">
    <cfRule type="containsText" dxfId="18" priority="1" operator="containsText" text="ANGLE CAN NOT BE MEASURED">
      <formula>NOT(ISERROR(SEARCH("ANGLE CAN NOT BE MEASURED",AC9)))</formula>
    </cfRule>
  </conditionalFormatting>
  <dataValidations count="1">
    <dataValidation type="list" allowBlank="1" showInputMessage="1" showErrorMessage="1" sqref="K9:K10 R9:R10 Y9:Y10 D9:D10" xr:uid="{B6925B6D-1162-4F70-8E6B-BE1FD2A81D0B}">
      <formula1>"Circular, Elliptical"</formula1>
    </dataValidation>
  </dataValidations>
  <pageMargins left="0.7" right="0.7" top="1.25" bottom="1" header="0.3" footer="0.3"/>
  <pageSetup paperSize="3" scale="43" orientation="landscape" r:id="rId1"/>
  <headerFooter scaleWithDoc="0">
    <oddHeader>&amp;RMADE BY:
DATE:
CHECKED BY:
DATE:</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17806-60C6-42EA-9DBD-264C9ABA8C0E}">
  <sheetPr>
    <pageSetUpPr fitToPage="1"/>
  </sheetPr>
  <dimension ref="A49:A53"/>
  <sheetViews>
    <sheetView zoomScale="80" zoomScaleNormal="80" workbookViewId="0">
      <selection activeCell="A48" sqref="A48"/>
    </sheetView>
  </sheetViews>
  <sheetFormatPr defaultRowHeight="14.4" x14ac:dyDescent="0.3"/>
  <sheetData>
    <row r="49" spans="1:1" x14ac:dyDescent="0.3">
      <c r="A49" s="31" t="s">
        <v>96</v>
      </c>
    </row>
    <row r="50" spans="1:1" x14ac:dyDescent="0.3">
      <c r="A50" t="s">
        <v>101</v>
      </c>
    </row>
    <row r="51" spans="1:1" x14ac:dyDescent="0.3">
      <c r="A51" t="s">
        <v>100</v>
      </c>
    </row>
    <row r="53" spans="1:1" ht="18" x14ac:dyDescent="0.35">
      <c r="A53" s="145" t="s">
        <v>97</v>
      </c>
    </row>
  </sheetData>
  <pageMargins left="0.7" right="0.7" top="0.75" bottom="0.75" header="0.3" footer="0.3"/>
  <pageSetup paperSize="3" scale="71" orientation="landscape" horizontalDpi="30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16"/>
  <sheetViews>
    <sheetView zoomScale="80" zoomScaleNormal="80" workbookViewId="0">
      <selection activeCell="A17" sqref="A17"/>
    </sheetView>
  </sheetViews>
  <sheetFormatPr defaultRowHeight="14.4" x14ac:dyDescent="0.3"/>
  <cols>
    <col min="1" max="1" width="22.6640625" customWidth="1"/>
    <col min="2" max="2" width="14.33203125" bestFit="1" customWidth="1"/>
    <col min="3" max="4" width="11.88671875" bestFit="1" customWidth="1"/>
    <col min="5" max="5" width="14" bestFit="1" customWidth="1"/>
    <col min="6" max="6" width="10.6640625" bestFit="1" customWidth="1"/>
    <col min="7" max="7" width="12.5546875" bestFit="1" customWidth="1"/>
    <col min="8" max="8" width="27.5546875" bestFit="1" customWidth="1"/>
    <col min="9" max="9" width="12.6640625" bestFit="1" customWidth="1"/>
    <col min="10" max="10" width="18.6640625" bestFit="1" customWidth="1"/>
    <col min="11" max="11" width="14.33203125" bestFit="1" customWidth="1"/>
    <col min="12" max="13" width="12.6640625" bestFit="1" customWidth="1"/>
  </cols>
  <sheetData>
    <row r="1" spans="1:20" x14ac:dyDescent="0.3">
      <c r="A1" s="172" t="s">
        <v>30</v>
      </c>
      <c r="B1" s="172"/>
      <c r="C1" s="172"/>
      <c r="D1" s="172"/>
      <c r="H1" s="173" t="s">
        <v>34</v>
      </c>
      <c r="I1" s="172"/>
      <c r="J1" s="172"/>
      <c r="K1" s="172"/>
      <c r="L1" s="172"/>
      <c r="M1" s="172"/>
    </row>
    <row r="2" spans="1:20" hidden="1" x14ac:dyDescent="0.3">
      <c r="A2" s="16" t="s">
        <v>71</v>
      </c>
      <c r="B2" s="17" t="s">
        <v>61</v>
      </c>
      <c r="C2" s="17" t="s">
        <v>62</v>
      </c>
      <c r="D2" s="18" t="s">
        <v>63</v>
      </c>
      <c r="H2" s="16" t="s">
        <v>71</v>
      </c>
      <c r="I2" s="17" t="s">
        <v>61</v>
      </c>
      <c r="J2" s="17" t="s">
        <v>62</v>
      </c>
      <c r="K2" s="17" t="s">
        <v>63</v>
      </c>
      <c r="L2" s="17" t="s">
        <v>64</v>
      </c>
      <c r="M2" s="22" t="s">
        <v>70</v>
      </c>
      <c r="P2" s="2"/>
      <c r="Q2" s="2"/>
      <c r="R2" s="2"/>
      <c r="S2" s="2"/>
    </row>
    <row r="3" spans="1:20" ht="48" customHeight="1" x14ac:dyDescent="0.3">
      <c r="A3" s="11" t="s">
        <v>31</v>
      </c>
      <c r="B3" s="9" t="s">
        <v>85</v>
      </c>
      <c r="C3" s="9" t="s">
        <v>32</v>
      </c>
      <c r="D3" s="14" t="s">
        <v>33</v>
      </c>
      <c r="H3" s="23" t="s">
        <v>36</v>
      </c>
      <c r="I3" s="4" t="s">
        <v>35</v>
      </c>
      <c r="J3" s="4" t="s">
        <v>44</v>
      </c>
      <c r="K3" s="6" t="s">
        <v>85</v>
      </c>
      <c r="L3" s="6" t="s">
        <v>46</v>
      </c>
      <c r="M3" s="25" t="s">
        <v>47</v>
      </c>
      <c r="P3" s="2"/>
      <c r="Q3" s="2"/>
      <c r="R3" s="2"/>
      <c r="S3" s="2"/>
    </row>
    <row r="4" spans="1:20" x14ac:dyDescent="0.3">
      <c r="A4" s="12">
        <v>12</v>
      </c>
      <c r="B4" s="10">
        <f t="shared" ref="B4" si="0">(A4+12)/12</f>
        <v>2</v>
      </c>
      <c r="C4" s="10">
        <f t="shared" ref="C4" si="1">A4+2*B4</f>
        <v>16</v>
      </c>
      <c r="D4" s="15">
        <f t="shared" ref="D4" si="2">MROUND(C4/12, 0.01)</f>
        <v>1.33</v>
      </c>
      <c r="H4" s="24">
        <v>15</v>
      </c>
      <c r="I4" s="3">
        <v>12</v>
      </c>
      <c r="J4" s="3">
        <v>18</v>
      </c>
      <c r="K4" s="7">
        <v>2.5</v>
      </c>
      <c r="L4" s="7">
        <f>J4+2*K4</f>
        <v>23</v>
      </c>
      <c r="M4" s="26">
        <f>L4/12</f>
        <v>1.9166666666666667</v>
      </c>
    </row>
    <row r="5" spans="1:20" x14ac:dyDescent="0.3">
      <c r="A5" s="12">
        <v>15</v>
      </c>
      <c r="B5" s="10">
        <f t="shared" ref="B5" si="3">(A5+12)/12</f>
        <v>2.25</v>
      </c>
      <c r="C5" s="10">
        <f t="shared" ref="C5" si="4">A5+2*B5</f>
        <v>19.5</v>
      </c>
      <c r="D5" s="15">
        <f t="shared" ref="D5" si="5">MROUND(C5/12, 0.01)</f>
        <v>1.6300000000000001</v>
      </c>
      <c r="H5" s="24">
        <v>18</v>
      </c>
      <c r="I5" s="3">
        <v>14</v>
      </c>
      <c r="J5" s="3">
        <v>23</v>
      </c>
      <c r="K5" s="7">
        <v>2.75</v>
      </c>
      <c r="L5" s="7">
        <f>J5+2*K5</f>
        <v>28.5</v>
      </c>
      <c r="M5" s="26">
        <f>L5/12</f>
        <v>2.375</v>
      </c>
    </row>
    <row r="6" spans="1:20" x14ac:dyDescent="0.3">
      <c r="A6" s="13">
        <v>18</v>
      </c>
      <c r="B6" s="10">
        <f t="shared" ref="B6:B15" si="6">(A6+12)/12</f>
        <v>2.5</v>
      </c>
      <c r="C6" s="10">
        <f t="shared" ref="C6:C15" si="7">A6+2*B6</f>
        <v>23</v>
      </c>
      <c r="D6" s="15">
        <f t="shared" ref="D6:D15" si="8">MROUND(C6/12, 0.01)</f>
        <v>1.92</v>
      </c>
      <c r="H6" s="24">
        <v>24</v>
      </c>
      <c r="I6" s="3">
        <v>19</v>
      </c>
      <c r="J6" s="3">
        <v>30</v>
      </c>
      <c r="K6" s="8">
        <v>3.25</v>
      </c>
      <c r="L6" s="7">
        <f t="shared" ref="L6:L13" si="9">J6+2*K6</f>
        <v>36.5</v>
      </c>
      <c r="M6" s="26">
        <f t="shared" ref="M6:M13" si="10">L6/12</f>
        <v>3.0416666666666665</v>
      </c>
    </row>
    <row r="7" spans="1:20" x14ac:dyDescent="0.3">
      <c r="A7" s="13">
        <v>21</v>
      </c>
      <c r="B7" s="10">
        <f t="shared" si="6"/>
        <v>2.75</v>
      </c>
      <c r="C7" s="10">
        <f t="shared" si="7"/>
        <v>26.5</v>
      </c>
      <c r="D7" s="15">
        <f t="shared" si="8"/>
        <v>2.21</v>
      </c>
      <c r="H7" s="24">
        <v>30</v>
      </c>
      <c r="I7" s="3">
        <v>24</v>
      </c>
      <c r="J7" s="3">
        <v>38</v>
      </c>
      <c r="K7" s="8">
        <v>3.75</v>
      </c>
      <c r="L7" s="7">
        <f t="shared" si="9"/>
        <v>45.5</v>
      </c>
      <c r="M7" s="26">
        <f t="shared" si="10"/>
        <v>3.7916666666666665</v>
      </c>
    </row>
    <row r="8" spans="1:20" x14ac:dyDescent="0.3">
      <c r="A8" s="13">
        <v>24</v>
      </c>
      <c r="B8" s="10">
        <f t="shared" si="6"/>
        <v>3</v>
      </c>
      <c r="C8" s="10">
        <f t="shared" si="7"/>
        <v>30</v>
      </c>
      <c r="D8" s="15">
        <f t="shared" si="8"/>
        <v>2.5</v>
      </c>
      <c r="H8" s="24">
        <v>36</v>
      </c>
      <c r="I8" s="3">
        <v>29</v>
      </c>
      <c r="J8" s="3">
        <v>45</v>
      </c>
      <c r="K8" s="8">
        <v>4.5</v>
      </c>
      <c r="L8" s="7">
        <f t="shared" si="9"/>
        <v>54</v>
      </c>
      <c r="M8" s="26">
        <f t="shared" si="10"/>
        <v>4.5</v>
      </c>
    </row>
    <row r="9" spans="1:20" x14ac:dyDescent="0.3">
      <c r="A9" s="13">
        <v>30</v>
      </c>
      <c r="B9" s="10">
        <f t="shared" si="6"/>
        <v>3.5</v>
      </c>
      <c r="C9" s="10">
        <f t="shared" si="7"/>
        <v>37</v>
      </c>
      <c r="D9" s="15">
        <f t="shared" si="8"/>
        <v>3.08</v>
      </c>
      <c r="H9" s="24">
        <v>42</v>
      </c>
      <c r="I9" s="3">
        <v>34</v>
      </c>
      <c r="J9" s="3">
        <v>53</v>
      </c>
      <c r="K9" s="8">
        <v>5</v>
      </c>
      <c r="L9" s="7">
        <f t="shared" si="9"/>
        <v>63</v>
      </c>
      <c r="M9" s="26">
        <f t="shared" si="10"/>
        <v>5.25</v>
      </c>
    </row>
    <row r="10" spans="1:20" x14ac:dyDescent="0.3">
      <c r="A10" s="13">
        <v>36</v>
      </c>
      <c r="B10" s="10">
        <f t="shared" si="6"/>
        <v>4</v>
      </c>
      <c r="C10" s="10">
        <f t="shared" si="7"/>
        <v>44</v>
      </c>
      <c r="D10" s="15">
        <f t="shared" si="8"/>
        <v>3.67</v>
      </c>
      <c r="H10" s="24">
        <v>48</v>
      </c>
      <c r="I10" s="3">
        <v>38</v>
      </c>
      <c r="J10" s="3">
        <v>60</v>
      </c>
      <c r="K10" s="8">
        <v>5.5</v>
      </c>
      <c r="L10" s="7">
        <f t="shared" si="9"/>
        <v>71</v>
      </c>
      <c r="M10" s="26">
        <f t="shared" si="10"/>
        <v>5.916666666666667</v>
      </c>
    </row>
    <row r="11" spans="1:20" x14ac:dyDescent="0.3">
      <c r="A11" s="13">
        <v>42</v>
      </c>
      <c r="B11" s="10">
        <f t="shared" si="6"/>
        <v>4.5</v>
      </c>
      <c r="C11" s="10">
        <f t="shared" si="7"/>
        <v>51</v>
      </c>
      <c r="D11" s="15">
        <f t="shared" si="8"/>
        <v>4.25</v>
      </c>
      <c r="H11" s="24">
        <v>54</v>
      </c>
      <c r="I11" s="3">
        <v>43</v>
      </c>
      <c r="J11" s="3">
        <v>68</v>
      </c>
      <c r="K11" s="8">
        <v>6</v>
      </c>
      <c r="L11" s="7">
        <f t="shared" si="9"/>
        <v>80</v>
      </c>
      <c r="M11" s="26">
        <f t="shared" si="10"/>
        <v>6.666666666666667</v>
      </c>
    </row>
    <row r="12" spans="1:20" x14ac:dyDescent="0.3">
      <c r="A12" s="13">
        <v>48</v>
      </c>
      <c r="B12" s="10">
        <f t="shared" si="6"/>
        <v>5</v>
      </c>
      <c r="C12" s="10">
        <f t="shared" si="7"/>
        <v>58</v>
      </c>
      <c r="D12" s="15">
        <f t="shared" si="8"/>
        <v>4.83</v>
      </c>
      <c r="H12" s="24">
        <v>60</v>
      </c>
      <c r="I12" s="3">
        <v>48</v>
      </c>
      <c r="J12" s="3">
        <v>76</v>
      </c>
      <c r="K12" s="8">
        <v>6.5</v>
      </c>
      <c r="L12" s="7">
        <f t="shared" si="9"/>
        <v>89</v>
      </c>
      <c r="M12" s="26">
        <f t="shared" si="10"/>
        <v>7.416666666666667</v>
      </c>
    </row>
    <row r="13" spans="1:20" x14ac:dyDescent="0.3">
      <c r="A13" s="13">
        <v>54</v>
      </c>
      <c r="B13" s="10">
        <f t="shared" si="6"/>
        <v>5.5</v>
      </c>
      <c r="C13" s="10">
        <f t="shared" si="7"/>
        <v>65</v>
      </c>
      <c r="D13" s="15">
        <f t="shared" si="8"/>
        <v>5.42</v>
      </c>
      <c r="H13" s="130">
        <v>66</v>
      </c>
      <c r="I13" s="131">
        <v>53</v>
      </c>
      <c r="J13" s="131">
        <v>83</v>
      </c>
      <c r="K13" s="27">
        <v>7</v>
      </c>
      <c r="L13" s="27">
        <f t="shared" si="9"/>
        <v>97</v>
      </c>
      <c r="M13" s="28">
        <f t="shared" si="10"/>
        <v>8.0833333333333339</v>
      </c>
      <c r="T13" s="1"/>
    </row>
    <row r="14" spans="1:20" x14ac:dyDescent="0.3">
      <c r="A14" s="13">
        <v>60</v>
      </c>
      <c r="B14" s="10">
        <f t="shared" si="6"/>
        <v>6</v>
      </c>
      <c r="C14" s="10">
        <f t="shared" si="7"/>
        <v>72</v>
      </c>
      <c r="D14" s="15">
        <f t="shared" si="8"/>
        <v>6</v>
      </c>
      <c r="H14" s="132"/>
      <c r="I14" s="133"/>
      <c r="J14" s="133"/>
      <c r="K14" s="134"/>
      <c r="L14" s="135"/>
      <c r="M14" s="135"/>
    </row>
    <row r="15" spans="1:20" x14ac:dyDescent="0.3">
      <c r="A15" s="19">
        <v>66</v>
      </c>
      <c r="B15" s="20">
        <f t="shared" si="6"/>
        <v>6.5</v>
      </c>
      <c r="C15" s="20">
        <f t="shared" si="7"/>
        <v>79</v>
      </c>
      <c r="D15" s="21">
        <f t="shared" si="8"/>
        <v>6.58</v>
      </c>
      <c r="H15" s="132"/>
      <c r="I15" s="133"/>
      <c r="J15" s="133"/>
      <c r="K15" s="134"/>
      <c r="L15" s="135"/>
      <c r="M15" s="135"/>
    </row>
    <row r="16" spans="1:20" ht="18" x14ac:dyDescent="0.35">
      <c r="A16" s="145" t="s">
        <v>95</v>
      </c>
      <c r="B16" s="5"/>
      <c r="C16" s="5"/>
      <c r="D16" s="5"/>
      <c r="H16" s="5"/>
      <c r="I16" s="5"/>
    </row>
  </sheetData>
  <mergeCells count="2">
    <mergeCell ref="A1:D1"/>
    <mergeCell ref="H1:M1"/>
  </mergeCells>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MH Size Estimator</vt:lpstr>
      <vt:lpstr>MH % CF Removed</vt:lpstr>
      <vt:lpstr>Catch Basins Type G</vt:lpstr>
      <vt:lpstr>Reference Tables</vt:lpstr>
      <vt:lpstr>'MH % CF Removed'!Print_Area</vt:lpstr>
      <vt:lpstr>'MH Size Estimator'!Print_Area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Macias</dc:creator>
  <cp:lastModifiedBy>Kanellopoulos, Paul</cp:lastModifiedBy>
  <cp:lastPrinted>2023-03-29T14:31:45Z</cp:lastPrinted>
  <dcterms:created xsi:type="dcterms:W3CDTF">2018-03-28T20:52:30Z</dcterms:created>
  <dcterms:modified xsi:type="dcterms:W3CDTF">2023-03-29T14:37:46Z</dcterms:modified>
</cp:coreProperties>
</file>